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Petrovic\Desktop\ZM\4ZM\9.-DSO-odpady\"/>
    </mc:Choice>
  </mc:AlternateContent>
  <xr:revisionPtr revIDLastSave="0" documentId="13_ncr:1_{49FDF0D1-F36F-431F-AF49-704E0F054E8D}" xr6:coauthVersionLast="47" xr6:coauthVersionMax="47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harmonogram" sheetId="1" r:id="rId1"/>
    <sheet name="financování_zadost" sheetId="2" r:id="rId2"/>
    <sheet name="financování_obce" sheetId="3" r:id="rId3"/>
    <sheet name="info" sheetId="4" r:id="rId4"/>
  </sheets>
  <calcPr calcId="191029"/>
  <extLst>
    <ext uri="GoogleSheetsCustomDataVersion1">
      <go:sheetsCustomData xmlns:go="http://customooxmlschemas.google.com/" r:id="rId8" roundtripDataSignature="AMtx7mhKWbHO8/+j5W0vm3Dc8FHqMLMQOQ=="/>
    </ext>
  </extLst>
</workbook>
</file>

<file path=xl/calcChain.xml><?xml version="1.0" encoding="utf-8"?>
<calcChain xmlns="http://schemas.openxmlformats.org/spreadsheetml/2006/main">
  <c r="J14" i="3" l="1"/>
  <c r="J5" i="3"/>
  <c r="K5" i="3"/>
  <c r="K24" i="3"/>
  <c r="C23" i="3"/>
  <c r="E22" i="3"/>
  <c r="E21" i="3"/>
  <c r="E20" i="3"/>
  <c r="F20" i="3" s="1"/>
  <c r="G20" i="3" s="1"/>
  <c r="F19" i="3"/>
  <c r="G19" i="3" s="1"/>
  <c r="E19" i="3"/>
  <c r="E18" i="3"/>
  <c r="E17" i="3"/>
  <c r="E16" i="3"/>
  <c r="F16" i="3" s="1"/>
  <c r="G16" i="3" s="1"/>
  <c r="F15" i="3"/>
  <c r="E15" i="3"/>
  <c r="G15" i="3" s="1"/>
  <c r="E14" i="3"/>
  <c r="E13" i="3"/>
  <c r="E12" i="3"/>
  <c r="F12" i="3" s="1"/>
  <c r="G12" i="3" s="1"/>
  <c r="F11" i="3"/>
  <c r="G11" i="3" s="1"/>
  <c r="E11" i="3"/>
  <c r="E10" i="3"/>
  <c r="E9" i="3"/>
  <c r="G8" i="3"/>
  <c r="F8" i="3"/>
  <c r="E8" i="3"/>
  <c r="F7" i="3"/>
  <c r="E7" i="3"/>
  <c r="G7" i="3" s="1"/>
  <c r="E6" i="3"/>
  <c r="E5" i="3"/>
  <c r="G23" i="2"/>
  <c r="F23" i="2"/>
  <c r="F22" i="2"/>
  <c r="G22" i="2" s="1"/>
  <c r="G21" i="2"/>
  <c r="F21" i="2"/>
  <c r="F20" i="2"/>
  <c r="G20" i="2" s="1"/>
  <c r="G19" i="2"/>
  <c r="C28" i="2" s="1"/>
  <c r="G28" i="2" s="1"/>
  <c r="F19" i="2"/>
  <c r="F18" i="2"/>
  <c r="G18" i="2" s="1"/>
  <c r="G17" i="2"/>
  <c r="C29" i="2" s="1"/>
  <c r="F17" i="2"/>
  <c r="C10" i="2"/>
  <c r="E24" i="2" s="1"/>
  <c r="C9" i="2"/>
  <c r="E8" i="2"/>
  <c r="D8" i="2"/>
  <c r="C8" i="2"/>
  <c r="D7" i="2"/>
  <c r="E7" i="2" s="1"/>
  <c r="E11" i="2" s="1"/>
  <c r="E6" i="2"/>
  <c r="D6" i="2"/>
  <c r="D5" i="2"/>
  <c r="E5" i="2" s="1"/>
  <c r="E4" i="2"/>
  <c r="D4" i="2"/>
  <c r="D3" i="2"/>
  <c r="D9" i="2" s="1"/>
  <c r="E23" i="3" l="1"/>
  <c r="G14" i="3"/>
  <c r="C27" i="2"/>
  <c r="G27" i="2" s="1"/>
  <c r="G29" i="2"/>
  <c r="G21" i="3"/>
  <c r="C31" i="2"/>
  <c r="G31" i="2" s="1"/>
  <c r="I3" i="3" s="1"/>
  <c r="I24" i="3" s="1"/>
  <c r="G9" i="3"/>
  <c r="F24" i="2"/>
  <c r="G24" i="2" s="1"/>
  <c r="E25" i="2"/>
  <c r="F25" i="2" s="1"/>
  <c r="E3" i="2"/>
  <c r="F6" i="3"/>
  <c r="G6" i="3" s="1"/>
  <c r="F10" i="3"/>
  <c r="G10" i="3" s="1"/>
  <c r="F14" i="3"/>
  <c r="F18" i="3"/>
  <c r="G18" i="3" s="1"/>
  <c r="F22" i="3"/>
  <c r="G22" i="3" s="1"/>
  <c r="F5" i="3"/>
  <c r="F9" i="3"/>
  <c r="F13" i="3"/>
  <c r="G13" i="3" s="1"/>
  <c r="F17" i="3"/>
  <c r="G17" i="3" s="1"/>
  <c r="F21" i="3"/>
  <c r="C30" i="2" l="1"/>
  <c r="G30" i="2" s="1"/>
  <c r="G32" i="2" s="1"/>
  <c r="G25" i="2"/>
  <c r="I22" i="3"/>
  <c r="I19" i="3"/>
  <c r="I15" i="3"/>
  <c r="I11" i="3"/>
  <c r="I7" i="3"/>
  <c r="I14" i="3"/>
  <c r="I10" i="3"/>
  <c r="I20" i="3"/>
  <c r="I16" i="3"/>
  <c r="I12" i="3"/>
  <c r="I8" i="3"/>
  <c r="I21" i="3"/>
  <c r="I17" i="3"/>
  <c r="I13" i="3"/>
  <c r="I9" i="3"/>
  <c r="I5" i="3"/>
  <c r="I18" i="3"/>
  <c r="I6" i="3"/>
  <c r="G34" i="2"/>
  <c r="G35" i="2" s="1"/>
  <c r="E9" i="2"/>
  <c r="E10" i="2" s="1"/>
  <c r="M3" i="3"/>
  <c r="M24" i="3" s="1"/>
  <c r="G5" i="3"/>
  <c r="F23" i="3"/>
  <c r="I23" i="3" l="1"/>
  <c r="G23" i="3"/>
  <c r="E25" i="3" s="1"/>
  <c r="G33" i="2"/>
  <c r="M22" i="3"/>
  <c r="N22" i="3" s="1"/>
  <c r="M19" i="3"/>
  <c r="N19" i="3" s="1"/>
  <c r="M15" i="3"/>
  <c r="N15" i="3" s="1"/>
  <c r="M11" i="3"/>
  <c r="N11" i="3" s="1"/>
  <c r="M7" i="3"/>
  <c r="N7" i="3" s="1"/>
  <c r="M20" i="3"/>
  <c r="N20" i="3" s="1"/>
  <c r="M16" i="3"/>
  <c r="N16" i="3" s="1"/>
  <c r="M12" i="3"/>
  <c r="N12" i="3" s="1"/>
  <c r="M8" i="3"/>
  <c r="N8" i="3" s="1"/>
  <c r="M10" i="3"/>
  <c r="N10" i="3" s="1"/>
  <c r="M21" i="3"/>
  <c r="N21" i="3" s="1"/>
  <c r="M17" i="3"/>
  <c r="N17" i="3" s="1"/>
  <c r="M13" i="3"/>
  <c r="N13" i="3" s="1"/>
  <c r="M9" i="3"/>
  <c r="N9" i="3" s="1"/>
  <c r="M5" i="3"/>
  <c r="M18" i="3"/>
  <c r="N18" i="3" s="1"/>
  <c r="M14" i="3"/>
  <c r="N14" i="3" s="1"/>
  <c r="M6" i="3"/>
  <c r="N6" i="3" s="1"/>
  <c r="H33" i="2"/>
  <c r="H34" i="2" s="1"/>
  <c r="M23" i="3" l="1"/>
  <c r="N5" i="3"/>
  <c r="N23" i="3" s="1"/>
  <c r="E26" i="3"/>
  <c r="H24" i="3"/>
  <c r="H22" i="3" l="1"/>
  <c r="K22" i="3" s="1"/>
  <c r="L22" i="3" s="1"/>
  <c r="H18" i="3"/>
  <c r="K18" i="3" s="1"/>
  <c r="L18" i="3" s="1"/>
  <c r="H14" i="3"/>
  <c r="K14" i="3" s="1"/>
  <c r="L14" i="3" s="1"/>
  <c r="H10" i="3"/>
  <c r="K10" i="3" s="1"/>
  <c r="L10" i="3" s="1"/>
  <c r="H6" i="3"/>
  <c r="K6" i="3" s="1"/>
  <c r="L6" i="3" s="1"/>
  <c r="H9" i="3"/>
  <c r="K9" i="3" s="1"/>
  <c r="L9" i="3" s="1"/>
  <c r="H19" i="3"/>
  <c r="K19" i="3" s="1"/>
  <c r="L19" i="3" s="1"/>
  <c r="H15" i="3"/>
  <c r="K15" i="3" s="1"/>
  <c r="L15" i="3" s="1"/>
  <c r="H11" i="3"/>
  <c r="K11" i="3" s="1"/>
  <c r="L11" i="3" s="1"/>
  <c r="H7" i="3"/>
  <c r="K7" i="3" s="1"/>
  <c r="L7" i="3" s="1"/>
  <c r="H17" i="3"/>
  <c r="K17" i="3" s="1"/>
  <c r="L17" i="3" s="1"/>
  <c r="H13" i="3"/>
  <c r="K13" i="3" s="1"/>
  <c r="L13" i="3" s="1"/>
  <c r="H5" i="3"/>
  <c r="H20" i="3"/>
  <c r="K20" i="3" s="1"/>
  <c r="L20" i="3" s="1"/>
  <c r="H16" i="3"/>
  <c r="K16" i="3" s="1"/>
  <c r="L16" i="3" s="1"/>
  <c r="H12" i="3"/>
  <c r="K12" i="3" s="1"/>
  <c r="L12" i="3" s="1"/>
  <c r="H8" i="3"/>
  <c r="K8" i="3" s="1"/>
  <c r="L8" i="3" s="1"/>
  <c r="H21" i="3"/>
  <c r="K21" i="3" s="1"/>
  <c r="L21" i="3" s="1"/>
  <c r="J12" i="3" l="1"/>
  <c r="O12" i="3"/>
  <c r="O13" i="3"/>
  <c r="J13" i="3"/>
  <c r="O15" i="3"/>
  <c r="J15" i="3"/>
  <c r="O10" i="3"/>
  <c r="J10" i="3"/>
  <c r="J16" i="3"/>
  <c r="O16" i="3"/>
  <c r="O17" i="3"/>
  <c r="J17" i="3"/>
  <c r="O19" i="3"/>
  <c r="J19" i="3"/>
  <c r="O14" i="3"/>
  <c r="O21" i="3"/>
  <c r="J21" i="3"/>
  <c r="J20" i="3"/>
  <c r="O20" i="3"/>
  <c r="O7" i="3"/>
  <c r="J7" i="3"/>
  <c r="O9" i="3"/>
  <c r="J9" i="3"/>
  <c r="O18" i="3"/>
  <c r="J18" i="3"/>
  <c r="J8" i="3"/>
  <c r="O8" i="3"/>
  <c r="H23" i="3"/>
  <c r="J11" i="3"/>
  <c r="O11" i="3"/>
  <c r="O6" i="3"/>
  <c r="J6" i="3"/>
  <c r="O22" i="3"/>
  <c r="J22" i="3"/>
  <c r="K23" i="3" l="1"/>
  <c r="L5" i="3"/>
  <c r="O5" i="3" l="1"/>
  <c r="O23" i="3" s="1"/>
  <c r="N25" i="3" s="1"/>
  <c r="L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Admin</author>
  </authors>
  <commentList>
    <comment ref="B11" authorId="0" shapeId="0" xr:uid="{00000000-0006-0000-0100-000001000000}">
      <text>
        <r>
          <rPr>
            <sz val="11"/>
            <color rgb="FF000000"/>
            <rFont val="Calibri"/>
            <scheme val="minor"/>
          </rPr>
          <t>======
ID#AAAAomIM8KQ
Manazer DSO    (2023-02-01 12:49:52)
protože budou realizovány až po skončení projektu</t>
        </r>
      </text>
    </comment>
    <comment ref="B23" authorId="1" shapeId="0" xr:uid="{27AA121D-6EBD-4AD3-A010-B2D0DAE6110A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není způsopbilá ale je podstatná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RXH1+u9h5b12w6+stk9T3VuYMx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Admin</author>
  </authors>
  <commentList>
    <comment ref="I1" authorId="0" shapeId="0" xr:uid="{00000000-0006-0000-0200-000001000000}">
      <text>
        <r>
          <rPr>
            <sz val="11"/>
            <color rgb="FF000000"/>
            <rFont val="Calibri"/>
            <scheme val="minor"/>
          </rPr>
          <t>======
ID#AAAAp1hUrhE
Anna Randáková    (2023-02-09 11:30:38)
ZVA, monitorovací zprávy, propagace</t>
        </r>
      </text>
    </comment>
    <comment ref="J1" authorId="1" shapeId="0" xr:uid="{1DF80E22-ABDC-4020-8635-2B610380EB84}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BeuTjVzK1fD2vCp0ppmOxQaf29Q=="/>
    </ext>
  </extLst>
</comments>
</file>

<file path=xl/sharedStrings.xml><?xml version="1.0" encoding="utf-8"?>
<sst xmlns="http://schemas.openxmlformats.org/spreadsheetml/2006/main" count="126" uniqueCount="113">
  <si>
    <t xml:space="preserve">Harmonogram projektu </t>
  </si>
  <si>
    <t>Projednání záměru zastupitelstvy</t>
  </si>
  <si>
    <t>01.03.2023</t>
  </si>
  <si>
    <t>30.04.2023</t>
  </si>
  <si>
    <t>Tvorba Projektu pro žádost o dotaci</t>
  </si>
  <si>
    <t>29.06.2023</t>
  </si>
  <si>
    <t>úhrada částky za analýzu a projekt</t>
  </si>
  <si>
    <t>133 100</t>
  </si>
  <si>
    <t>Předpoklad schválení žádosti o dotaci</t>
  </si>
  <si>
    <t>31.03.2024</t>
  </si>
  <si>
    <t>01.04.2024</t>
  </si>
  <si>
    <t>Administrace Veřejných zakázek</t>
  </si>
  <si>
    <t>29.08.2024</t>
  </si>
  <si>
    <t>Koordinačně propagační schůzka se starosty</t>
  </si>
  <si>
    <t>01.09.2024</t>
  </si>
  <si>
    <t>02.09.2024</t>
  </si>
  <si>
    <t>Uzavření smluv s dodavateli</t>
  </si>
  <si>
    <t>05.09.2024</t>
  </si>
  <si>
    <t>Dodávka nádob a dalšího vybavení</t>
  </si>
  <si>
    <t>04.12.2024</t>
  </si>
  <si>
    <t>Distribuce nádob občanům</t>
  </si>
  <si>
    <t>01.01.2025</t>
  </si>
  <si>
    <t>Vyjednávání se svozovou firmou</t>
  </si>
  <si>
    <t>23.06.2024</t>
  </si>
  <si>
    <t>Propagace projektu</t>
  </si>
  <si>
    <t>29.06.2025</t>
  </si>
  <si>
    <t>Svoz D2D</t>
  </si>
  <si>
    <t>27.12.2025</t>
  </si>
  <si>
    <t>I. administrace</t>
  </si>
  <si>
    <t>co</t>
  </si>
  <si>
    <t>bez dph</t>
  </si>
  <si>
    <t>dph</t>
  </si>
  <si>
    <t>vč. dph</t>
  </si>
  <si>
    <t>A</t>
  </si>
  <si>
    <t>projekt +analýza</t>
  </si>
  <si>
    <t>B</t>
  </si>
  <si>
    <t>žádost v ISKP</t>
  </si>
  <si>
    <t>C</t>
  </si>
  <si>
    <t>VŘ</t>
  </si>
  <si>
    <t>D</t>
  </si>
  <si>
    <t>Podklady k RoPD</t>
  </si>
  <si>
    <t>E</t>
  </si>
  <si>
    <t>administrace projektu a ZVA</t>
  </si>
  <si>
    <t>F</t>
  </si>
  <si>
    <t>monitorovací zprávy</t>
  </si>
  <si>
    <t>celkem</t>
  </si>
  <si>
    <t>administrace způsobilé</t>
  </si>
  <si>
    <t>admninistrace nezpůsobilé</t>
  </si>
  <si>
    <t>Rozpočítání podílu na administraci mezi obce dle % z předpokládané celkové částky nákladů na nádobí a myčku</t>
  </si>
  <si>
    <t>III. projekt způsobilé</t>
  </si>
  <si>
    <t>bez DPH</t>
  </si>
  <si>
    <t>DPH</t>
  </si>
  <si>
    <t>vč. DPH</t>
  </si>
  <si>
    <t>Položka</t>
  </si>
  <si>
    <t>počet ks</t>
  </si>
  <si>
    <t>JC (Kč)</t>
  </si>
  <si>
    <t>Mezisoučet (Kč)</t>
  </si>
  <si>
    <t>Sběrné nádoby</t>
  </si>
  <si>
    <t>soubor</t>
  </si>
  <si>
    <t>n/a</t>
  </si>
  <si>
    <t>Čipy</t>
  </si>
  <si>
    <t>13 630</t>
  </si>
  <si>
    <t>Váha včetně automatické identifikace</t>
  </si>
  <si>
    <t>650 000</t>
  </si>
  <si>
    <t>Software</t>
  </si>
  <si>
    <t>300 000</t>
  </si>
  <si>
    <t>Cloudové služby na pět let</t>
  </si>
  <si>
    <t>95 000</t>
  </si>
  <si>
    <t>Ruční čtečka pro párování nádob</t>
  </si>
  <si>
    <t>55 000</t>
  </si>
  <si>
    <t>Propagace</t>
  </si>
  <si>
    <t>Administrativa</t>
  </si>
  <si>
    <t>Celkem investice</t>
  </si>
  <si>
    <t>celkem přímé</t>
  </si>
  <si>
    <t>přímé investiční</t>
  </si>
  <si>
    <t>přímé neinvestiční</t>
  </si>
  <si>
    <t>nepřímé</t>
  </si>
  <si>
    <t>Neuznatelné výdaje</t>
  </si>
  <si>
    <t>projekt celkem</t>
  </si>
  <si>
    <t xml:space="preserve">výše dotace </t>
  </si>
  <si>
    <t>vlastní podíl</t>
  </si>
  <si>
    <t>vl podíl+nezpůsobilé</t>
  </si>
  <si>
    <t>Počet obyvatel</t>
  </si>
  <si>
    <t>vl. podíl náklady na projekt bez DPH, dle analýzy</t>
  </si>
  <si>
    <t>vl. podíl náklady na projekt vč. DPH</t>
  </si>
  <si>
    <t>realizační rezerva</t>
  </si>
  <si>
    <t>nezpůsobilé</t>
  </si>
  <si>
    <t>mimořádný příspěvek do rozpočtu DSO celkem</t>
  </si>
  <si>
    <t>mimořádný příspěvěk v roce 2023</t>
  </si>
  <si>
    <t>mimořádný příspěvek v  roce 2024</t>
  </si>
  <si>
    <t>zaokrouhleno</t>
  </si>
  <si>
    <t>Bílý Potok</t>
  </si>
  <si>
    <t>Bulovka</t>
  </si>
  <si>
    <t>Černousy</t>
  </si>
  <si>
    <t>Dětřichov</t>
  </si>
  <si>
    <t>Dolní Řasnice</t>
  </si>
  <si>
    <t>Frýdlant</t>
  </si>
  <si>
    <t>Habartice</t>
  </si>
  <si>
    <t>Hejnice</t>
  </si>
  <si>
    <t>Heřmanice</t>
  </si>
  <si>
    <t>Horní Řasnice</t>
  </si>
  <si>
    <t>Jindřichovice pod Smrkem</t>
  </si>
  <si>
    <t>Krásný Les</t>
  </si>
  <si>
    <t>Kunratice</t>
  </si>
  <si>
    <t>Lázně Libverda</t>
  </si>
  <si>
    <t>Nové Město pod Smrkem</t>
  </si>
  <si>
    <t>Pertoltice</t>
  </si>
  <si>
    <t>Raspenava</t>
  </si>
  <si>
    <t>Višňová</t>
  </si>
  <si>
    <t>kontrolní součty</t>
  </si>
  <si>
    <t>na obyvatele</t>
  </si>
  <si>
    <t>vl. podíl náklady na investice bez DPH na ob dle analýzy kap 5.</t>
  </si>
  <si>
    <t>vl. podíl náklady na projekt celkem na obyvatele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</si>
</sst>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rgb="FF000000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  <font>
      <sz val="11"/>
      <color rgb="FFFF0000"/>
      <name val="Calibri"/>
      <scheme val="minor"/>
    </font>
    <font>
      <sz val="11"/>
      <color theme="1"/>
      <name val="Calibri"/>
      <scheme val="minor"/>
    </font>
    <font>
      <sz val="11"/>
      <name val="Calibri"/>
    </font>
    <font>
      <b/>
      <sz val="11"/>
      <color rgb="FF000000"/>
      <name val="Calibri"/>
    </font>
    <font>
      <b/>
      <sz val="11"/>
      <color theme="1"/>
      <name val="Calibri"/>
      <scheme val="minor"/>
    </font>
    <font>
      <sz val="11"/>
      <color theme="1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FCE5CD"/>
        <bgColor rgb="FFFCE5CD"/>
      </patternFill>
    </fill>
    <fill>
      <patternFill patternType="solid">
        <fgColor rgb="FFEAD1DC"/>
        <bgColor rgb="FFEAD1DC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/>
    <xf numFmtId="0" fontId="1" fillId="2" borderId="7" xfId="0" applyFont="1" applyFill="1" applyBorder="1"/>
    <xf numFmtId="0" fontId="1" fillId="0" borderId="6" xfId="0" applyFont="1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2" fillId="3" borderId="8" xfId="0" applyFont="1" applyFill="1" applyBorder="1"/>
    <xf numFmtId="0" fontId="1" fillId="3" borderId="9" xfId="0" applyFont="1" applyFill="1" applyBorder="1" applyAlignment="1">
      <alignment wrapText="1"/>
    </xf>
    <xf numFmtId="0" fontId="2" fillId="3" borderId="9" xfId="0" applyFont="1" applyFill="1" applyBorder="1"/>
    <xf numFmtId="0" fontId="6" fillId="3" borderId="0" xfId="0" applyFont="1" applyFill="1"/>
    <xf numFmtId="0" fontId="6" fillId="0" borderId="7" xfId="0" applyFont="1" applyBorder="1"/>
    <xf numFmtId="0" fontId="3" fillId="4" borderId="7" xfId="0" applyFont="1" applyFill="1" applyBorder="1" applyAlignment="1">
      <alignment horizontal="left" wrapText="1"/>
    </xf>
    <xf numFmtId="4" fontId="3" fillId="4" borderId="10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6" fillId="0" borderId="7" xfId="0" applyNumberFormat="1" applyFont="1" applyBorder="1"/>
    <xf numFmtId="0" fontId="6" fillId="5" borderId="0" xfId="0" applyFont="1" applyFill="1"/>
    <xf numFmtId="4" fontId="3" fillId="5" borderId="1" xfId="0" applyNumberFormat="1" applyFont="1" applyFill="1" applyBorder="1" applyAlignment="1">
      <alignment horizontal="right"/>
    </xf>
    <xf numFmtId="0" fontId="6" fillId="5" borderId="7" xfId="0" applyFont="1" applyFill="1" applyBorder="1"/>
    <xf numFmtId="4" fontId="6" fillId="5" borderId="7" xfId="0" applyNumberFormat="1" applyFont="1" applyFill="1" applyBorder="1"/>
    <xf numFmtId="4" fontId="8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4" fontId="1" fillId="6" borderId="7" xfId="0" applyNumberFormat="1" applyFont="1" applyFill="1" applyBorder="1"/>
    <xf numFmtId="4" fontId="2" fillId="0" borderId="7" xfId="0" applyNumberFormat="1" applyFont="1" applyBorder="1"/>
    <xf numFmtId="4" fontId="2" fillId="0" borderId="14" xfId="0" applyNumberFormat="1" applyFont="1" applyBorder="1"/>
    <xf numFmtId="0" fontId="2" fillId="0" borderId="14" xfId="0" applyFont="1" applyBorder="1"/>
    <xf numFmtId="4" fontId="1" fillId="6" borderId="14" xfId="0" applyNumberFormat="1" applyFont="1" applyFill="1" applyBorder="1" applyAlignment="1">
      <alignment horizontal="right"/>
    </xf>
    <xf numFmtId="4" fontId="2" fillId="0" borderId="0" xfId="0" applyNumberFormat="1" applyFont="1"/>
    <xf numFmtId="0" fontId="6" fillId="0" borderId="0" xfId="0" applyFont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4" fontId="1" fillId="0" borderId="17" xfId="0" applyNumberFormat="1" applyFont="1" applyBorder="1"/>
    <xf numFmtId="9" fontId="2" fillId="0" borderId="7" xfId="0" applyNumberFormat="1" applyFont="1" applyBorder="1"/>
    <xf numFmtId="4" fontId="6" fillId="0" borderId="0" xfId="0" applyNumberFormat="1" applyFont="1"/>
    <xf numFmtId="0" fontId="9" fillId="0" borderId="0" xfId="0" applyFont="1" applyAlignment="1">
      <alignment wrapText="1"/>
    </xf>
    <xf numFmtId="0" fontId="9" fillId="0" borderId="0" xfId="0" applyFont="1"/>
    <xf numFmtId="4" fontId="9" fillId="0" borderId="0" xfId="0" applyNumberFormat="1" applyFont="1"/>
    <xf numFmtId="4" fontId="2" fillId="0" borderId="18" xfId="0" applyNumberFormat="1" applyFont="1" applyBorder="1"/>
    <xf numFmtId="0" fontId="2" fillId="7" borderId="0" xfId="0" applyFont="1" applyFill="1" applyAlignment="1">
      <alignment vertical="top" wrapText="1"/>
    </xf>
    <xf numFmtId="0" fontId="6" fillId="8" borderId="19" xfId="0" applyFont="1" applyFill="1" applyBorder="1" applyAlignment="1">
      <alignment vertical="top" wrapText="1"/>
    </xf>
    <xf numFmtId="0" fontId="2" fillId="7" borderId="20" xfId="0" applyFont="1" applyFill="1" applyBorder="1" applyAlignment="1">
      <alignment vertical="top" wrapText="1"/>
    </xf>
    <xf numFmtId="0" fontId="2" fillId="7" borderId="21" xfId="0" applyFont="1" applyFill="1" applyBorder="1" applyAlignment="1">
      <alignment vertical="top" wrapText="1"/>
    </xf>
    <xf numFmtId="0" fontId="2" fillId="7" borderId="18" xfId="0" applyFont="1" applyFill="1" applyBorder="1" applyAlignment="1">
      <alignment vertical="top" wrapText="1"/>
    </xf>
    <xf numFmtId="0" fontId="2" fillId="8" borderId="18" xfId="0" applyFont="1" applyFill="1" applyBorder="1" applyAlignment="1">
      <alignment vertical="top" wrapText="1"/>
    </xf>
    <xf numFmtId="0" fontId="2" fillId="10" borderId="23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4" fontId="8" fillId="8" borderId="0" xfId="0" applyNumberFormat="1" applyFont="1" applyFill="1" applyAlignment="1">
      <alignment horizontal="right" wrapText="1"/>
    </xf>
    <xf numFmtId="4" fontId="8" fillId="7" borderId="0" xfId="0" applyNumberFormat="1" applyFont="1" applyFill="1" applyAlignment="1">
      <alignment horizontal="right" wrapText="1"/>
    </xf>
    <xf numFmtId="4" fontId="8" fillId="9" borderId="0" xfId="0" applyNumberFormat="1" applyFont="1" applyFill="1" applyAlignment="1">
      <alignment horizontal="right" wrapText="1"/>
    </xf>
    <xf numFmtId="4" fontId="3" fillId="9" borderId="0" xfId="0" applyNumberFormat="1" applyFont="1" applyFill="1" applyAlignment="1">
      <alignment horizontal="right" wrapText="1"/>
    </xf>
    <xf numFmtId="4" fontId="3" fillId="7" borderId="0" xfId="0" applyNumberFormat="1" applyFont="1" applyFill="1" applyAlignment="1">
      <alignment horizontal="right" wrapText="1"/>
    </xf>
    <xf numFmtId="4" fontId="3" fillId="10" borderId="0" xfId="0" applyNumberFormat="1" applyFont="1" applyFill="1" applyAlignment="1">
      <alignment horizontal="right" wrapText="1"/>
    </xf>
    <xf numFmtId="0" fontId="10" fillId="0" borderId="0" xfId="0" applyFont="1"/>
    <xf numFmtId="0" fontId="6" fillId="8" borderId="0" xfId="0" applyFont="1" applyFill="1"/>
    <xf numFmtId="0" fontId="6" fillId="11" borderId="0" xfId="0" applyFont="1" applyFill="1"/>
    <xf numFmtId="4" fontId="6" fillId="11" borderId="0" xfId="0" applyNumberFormat="1" applyFont="1" applyFill="1"/>
    <xf numFmtId="0" fontId="9" fillId="9" borderId="0" xfId="0" applyFont="1" applyFill="1"/>
    <xf numFmtId="4" fontId="6" fillId="7" borderId="0" xfId="0" applyNumberFormat="1" applyFont="1" applyFill="1"/>
    <xf numFmtId="0" fontId="6" fillId="7" borderId="0" xfId="0" applyFont="1" applyFill="1"/>
    <xf numFmtId="0" fontId="6" fillId="10" borderId="7" xfId="0" applyFont="1" applyFill="1" applyBorder="1"/>
    <xf numFmtId="0" fontId="3" fillId="8" borderId="0" xfId="0" applyFont="1" applyFill="1"/>
    <xf numFmtId="0" fontId="6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6" fillId="8" borderId="7" xfId="0" applyFont="1" applyFill="1" applyBorder="1"/>
    <xf numFmtId="4" fontId="6" fillId="8" borderId="7" xfId="0" applyNumberFormat="1" applyFont="1" applyFill="1" applyBorder="1"/>
    <xf numFmtId="4" fontId="9" fillId="0" borderId="7" xfId="0" applyNumberFormat="1" applyFont="1" applyBorder="1"/>
    <xf numFmtId="4" fontId="6" fillId="7" borderId="7" xfId="0" applyNumberFormat="1" applyFont="1" applyFill="1" applyBorder="1"/>
    <xf numFmtId="4" fontId="6" fillId="10" borderId="7" xfId="0" applyNumberFormat="1" applyFont="1" applyFill="1" applyBorder="1"/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6" fillId="12" borderId="0" xfId="0" applyFont="1" applyFill="1"/>
    <xf numFmtId="4" fontId="6" fillId="12" borderId="0" xfId="0" applyNumberFormat="1" applyFont="1" applyFill="1"/>
    <xf numFmtId="0" fontId="3" fillId="5" borderId="12" xfId="0" applyFont="1" applyFill="1" applyBorder="1" applyAlignment="1">
      <alignment horizontal="left" wrapText="1"/>
    </xf>
    <xf numFmtId="0" fontId="7" fillId="0" borderId="13" xfId="0" applyFont="1" applyBorder="1"/>
    <xf numFmtId="0" fontId="7" fillId="0" borderId="1" xfId="0" applyFont="1" applyBorder="1"/>
    <xf numFmtId="0" fontId="3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2" fillId="7" borderId="2" xfId="0" applyFont="1" applyFill="1" applyBorder="1" applyAlignment="1">
      <alignment horizontal="center" vertical="top" wrapText="1"/>
    </xf>
    <xf numFmtId="0" fontId="7" fillId="0" borderId="22" xfId="0" applyFont="1" applyBorder="1"/>
    <xf numFmtId="0" fontId="1" fillId="9" borderId="3" xfId="0" applyFont="1" applyFill="1" applyBorder="1" applyAlignment="1">
      <alignment vertical="top" wrapText="1"/>
    </xf>
    <xf numFmtId="0" fontId="7" fillId="0" borderId="21" xfId="0" applyFont="1" applyBorder="1"/>
    <xf numFmtId="0" fontId="6" fillId="0" borderId="0" xfId="0" applyFont="1" applyAlignment="1">
      <alignment vertical="top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6"/>
  <sheetViews>
    <sheetView workbookViewId="0"/>
  </sheetViews>
  <sheetFormatPr defaultColWidth="14.42578125" defaultRowHeight="15" customHeight="1" x14ac:dyDescent="0.25"/>
  <cols>
    <col min="1" max="1" width="38.7109375" customWidth="1"/>
  </cols>
  <sheetData>
    <row r="1" spans="1:26" ht="15" customHeight="1" x14ac:dyDescent="0.25">
      <c r="A1" s="1"/>
      <c r="B1" s="2"/>
      <c r="C1" s="2"/>
      <c r="D1" s="2"/>
      <c r="E1" s="3"/>
    </row>
    <row r="4" spans="1:26" ht="15" customHeight="1" x14ac:dyDescent="0.25">
      <c r="A4" s="1" t="s">
        <v>0</v>
      </c>
    </row>
    <row r="5" spans="1:26" ht="15" customHeight="1" x14ac:dyDescent="0.25">
      <c r="A5" s="4" t="s">
        <v>1</v>
      </c>
      <c r="B5" s="5" t="s">
        <v>2</v>
      </c>
      <c r="C5" s="5">
        <v>60</v>
      </c>
      <c r="D5" s="5" t="s">
        <v>3</v>
      </c>
    </row>
    <row r="6" spans="1:26" ht="15" customHeight="1" x14ac:dyDescent="0.25">
      <c r="A6" s="4" t="s">
        <v>4</v>
      </c>
      <c r="B6" s="5" t="s">
        <v>3</v>
      </c>
      <c r="C6" s="5">
        <v>60</v>
      </c>
      <c r="D6" s="5" t="s">
        <v>5</v>
      </c>
    </row>
    <row r="7" spans="1:26" ht="15" customHeight="1" x14ac:dyDescent="0.25">
      <c r="A7" s="6" t="s">
        <v>6</v>
      </c>
      <c r="B7" s="7"/>
      <c r="C7" s="7"/>
      <c r="D7" s="8">
        <v>45108</v>
      </c>
      <c r="E7" s="9" t="s">
        <v>7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" customHeight="1" x14ac:dyDescent="0.25">
      <c r="A8" s="4" t="s">
        <v>8</v>
      </c>
      <c r="B8" s="5" t="s">
        <v>9</v>
      </c>
      <c r="C8" s="5">
        <v>1</v>
      </c>
      <c r="D8" s="5" t="s">
        <v>10</v>
      </c>
    </row>
    <row r="9" spans="1:26" ht="15" customHeight="1" x14ac:dyDescent="0.25">
      <c r="A9" s="4" t="s">
        <v>11</v>
      </c>
      <c r="B9" s="5" t="s">
        <v>10</v>
      </c>
      <c r="C9" s="5">
        <v>150</v>
      </c>
      <c r="D9" s="5" t="s">
        <v>12</v>
      </c>
    </row>
    <row r="10" spans="1:26" ht="15" customHeight="1" x14ac:dyDescent="0.25">
      <c r="A10" s="4" t="s">
        <v>13</v>
      </c>
      <c r="B10" s="5" t="s">
        <v>14</v>
      </c>
      <c r="C10" s="5">
        <v>1</v>
      </c>
      <c r="D10" s="5" t="s">
        <v>15</v>
      </c>
    </row>
    <row r="11" spans="1:26" ht="15" customHeight="1" x14ac:dyDescent="0.25">
      <c r="A11" s="4" t="s">
        <v>16</v>
      </c>
      <c r="B11" s="5" t="s">
        <v>12</v>
      </c>
      <c r="C11" s="5">
        <v>7</v>
      </c>
      <c r="D11" s="5" t="s">
        <v>17</v>
      </c>
    </row>
    <row r="12" spans="1:26" ht="15" customHeight="1" x14ac:dyDescent="0.25">
      <c r="A12" s="4" t="s">
        <v>18</v>
      </c>
      <c r="B12" s="5" t="s">
        <v>17</v>
      </c>
      <c r="C12" s="5">
        <v>90</v>
      </c>
      <c r="D12" s="5" t="s">
        <v>19</v>
      </c>
    </row>
    <row r="13" spans="1:26" ht="15" customHeight="1" x14ac:dyDescent="0.25">
      <c r="A13" s="4" t="s">
        <v>20</v>
      </c>
      <c r="B13" s="5" t="s">
        <v>19</v>
      </c>
      <c r="C13" s="5">
        <v>28</v>
      </c>
      <c r="D13" s="5" t="s">
        <v>21</v>
      </c>
    </row>
    <row r="14" spans="1:26" ht="15" customHeight="1" x14ac:dyDescent="0.25">
      <c r="A14" s="4" t="s">
        <v>22</v>
      </c>
      <c r="B14" s="5" t="s">
        <v>5</v>
      </c>
      <c r="C14" s="5">
        <v>360</v>
      </c>
      <c r="D14" s="5" t="s">
        <v>23</v>
      </c>
    </row>
    <row r="15" spans="1:26" ht="15" customHeight="1" x14ac:dyDescent="0.25">
      <c r="A15" s="4" t="s">
        <v>24</v>
      </c>
      <c r="B15" s="5" t="s">
        <v>15</v>
      </c>
      <c r="C15" s="5">
        <v>300</v>
      </c>
      <c r="D15" s="5" t="s">
        <v>25</v>
      </c>
    </row>
    <row r="16" spans="1:26" ht="15" customHeight="1" x14ac:dyDescent="0.25">
      <c r="A16" s="4" t="s">
        <v>26</v>
      </c>
      <c r="B16" s="5" t="s">
        <v>21</v>
      </c>
      <c r="C16" s="5">
        <v>360</v>
      </c>
      <c r="D16" s="5" t="s">
        <v>27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971"/>
  <sheetViews>
    <sheetView topLeftCell="A25" workbookViewId="0">
      <selection activeCell="E43" sqref="E43"/>
    </sheetView>
  </sheetViews>
  <sheetFormatPr defaultColWidth="14.42578125" defaultRowHeight="15" customHeight="1" x14ac:dyDescent="0.25"/>
  <cols>
    <col min="1" max="1" width="6.28515625" customWidth="1"/>
    <col min="2" max="2" width="43.85546875" customWidth="1"/>
  </cols>
  <sheetData>
    <row r="1" spans="1:21" x14ac:dyDescent="0.25">
      <c r="B1" s="10" t="s">
        <v>28</v>
      </c>
    </row>
    <row r="2" spans="1:21" x14ac:dyDescent="0.25">
      <c r="A2" s="11"/>
      <c r="B2" s="12" t="s">
        <v>29</v>
      </c>
      <c r="C2" s="13" t="s">
        <v>30</v>
      </c>
      <c r="D2" s="13" t="s">
        <v>31</v>
      </c>
      <c r="E2" s="13" t="s">
        <v>32</v>
      </c>
    </row>
    <row r="3" spans="1:21" x14ac:dyDescent="0.25">
      <c r="A3" s="14" t="s">
        <v>33</v>
      </c>
      <c r="B3" s="15" t="s">
        <v>34</v>
      </c>
      <c r="C3" s="16">
        <v>110000</v>
      </c>
      <c r="D3" s="16">
        <f t="shared" ref="D3:D8" si="0">(C3*21)/100</f>
        <v>23100</v>
      </c>
      <c r="E3" s="16">
        <f t="shared" ref="E3:E8" si="1">C3+D3</f>
        <v>133100</v>
      </c>
      <c r="G3" s="3"/>
      <c r="H3" s="3"/>
      <c r="I3" s="3"/>
      <c r="J3" s="3"/>
    </row>
    <row r="4" spans="1:21" x14ac:dyDescent="0.25">
      <c r="A4" s="17" t="s">
        <v>35</v>
      </c>
      <c r="B4" s="18" t="s">
        <v>36</v>
      </c>
      <c r="C4" s="19">
        <v>30000</v>
      </c>
      <c r="D4" s="19">
        <f t="shared" si="0"/>
        <v>6300</v>
      </c>
      <c r="E4" s="19">
        <f t="shared" si="1"/>
        <v>36300</v>
      </c>
      <c r="G4" s="3"/>
      <c r="H4" s="3"/>
      <c r="I4" s="3"/>
      <c r="J4" s="3"/>
    </row>
    <row r="5" spans="1:21" x14ac:dyDescent="0.25">
      <c r="A5" s="17" t="s">
        <v>37</v>
      </c>
      <c r="B5" s="18" t="s">
        <v>38</v>
      </c>
      <c r="C5" s="19">
        <v>100000</v>
      </c>
      <c r="D5" s="19">
        <f t="shared" si="0"/>
        <v>21000</v>
      </c>
      <c r="E5" s="19">
        <f t="shared" si="1"/>
        <v>121000</v>
      </c>
      <c r="G5" s="3"/>
      <c r="H5" s="3"/>
      <c r="I5" s="3"/>
      <c r="J5" s="3"/>
    </row>
    <row r="6" spans="1:21" x14ac:dyDescent="0.25">
      <c r="A6" s="17" t="s">
        <v>39</v>
      </c>
      <c r="B6" s="18" t="s">
        <v>40</v>
      </c>
      <c r="C6" s="19">
        <v>55000</v>
      </c>
      <c r="D6" s="19">
        <f t="shared" si="0"/>
        <v>11550</v>
      </c>
      <c r="E6" s="19">
        <f t="shared" si="1"/>
        <v>66550</v>
      </c>
      <c r="G6" s="3"/>
      <c r="H6" s="3"/>
      <c r="I6" s="3"/>
      <c r="J6" s="3"/>
    </row>
    <row r="7" spans="1:21" x14ac:dyDescent="0.25">
      <c r="A7" s="20" t="s">
        <v>41</v>
      </c>
      <c r="B7" s="21" t="s">
        <v>42</v>
      </c>
      <c r="C7" s="22">
        <v>30000</v>
      </c>
      <c r="D7" s="22">
        <f t="shared" si="0"/>
        <v>6300</v>
      </c>
      <c r="E7" s="23">
        <f t="shared" si="1"/>
        <v>36300</v>
      </c>
      <c r="G7" s="3"/>
      <c r="H7" s="3"/>
      <c r="I7" s="3"/>
      <c r="J7" s="3"/>
    </row>
    <row r="8" spans="1:21" x14ac:dyDescent="0.25">
      <c r="A8" s="20" t="s">
        <v>43</v>
      </c>
      <c r="B8" s="21" t="s">
        <v>44</v>
      </c>
      <c r="C8" s="22">
        <f>5*5000</f>
        <v>25000</v>
      </c>
      <c r="D8" s="22">
        <f t="shared" si="0"/>
        <v>5250</v>
      </c>
      <c r="E8" s="23">
        <f t="shared" si="1"/>
        <v>30250</v>
      </c>
      <c r="G8" s="3"/>
      <c r="H8" s="3"/>
      <c r="I8" s="3"/>
      <c r="J8" s="3"/>
    </row>
    <row r="9" spans="1:21" x14ac:dyDescent="0.25">
      <c r="A9" s="24"/>
      <c r="B9" s="25" t="s">
        <v>45</v>
      </c>
      <c r="C9" s="19">
        <f t="shared" ref="C9:E9" si="2">SUM(C3:C8)</f>
        <v>350000</v>
      </c>
      <c r="D9" s="19">
        <f t="shared" si="2"/>
        <v>73500</v>
      </c>
      <c r="E9" s="19">
        <f t="shared" si="2"/>
        <v>423500</v>
      </c>
      <c r="G9" s="3"/>
      <c r="H9" s="3"/>
      <c r="I9" s="3"/>
      <c r="J9" s="3"/>
    </row>
    <row r="10" spans="1:21" ht="13.5" customHeight="1" x14ac:dyDescent="0.25">
      <c r="A10" s="17"/>
      <c r="B10" s="25" t="s">
        <v>46</v>
      </c>
      <c r="C10" s="26">
        <f>C9-(C8+C7)</f>
        <v>295000</v>
      </c>
      <c r="D10" s="26"/>
      <c r="E10" s="26">
        <f>E9-(E8+E7)</f>
        <v>356950</v>
      </c>
    </row>
    <row r="11" spans="1:21" x14ac:dyDescent="0.25">
      <c r="A11" s="27"/>
      <c r="B11" s="28" t="s">
        <v>47</v>
      </c>
      <c r="C11" s="29"/>
      <c r="D11" s="29"/>
      <c r="E11" s="29">
        <f>E7+E8</f>
        <v>66550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x14ac:dyDescent="0.25">
      <c r="A12" s="3"/>
      <c r="B12" s="10"/>
    </row>
    <row r="13" spans="1:21" ht="45" x14ac:dyDescent="0.25">
      <c r="A13" s="3"/>
      <c r="B13" s="10" t="s">
        <v>48</v>
      </c>
    </row>
    <row r="14" spans="1:21" ht="25.5" customHeight="1" x14ac:dyDescent="0.25">
      <c r="B14" s="10"/>
    </row>
    <row r="15" spans="1:21" x14ac:dyDescent="0.25">
      <c r="B15" s="18" t="s">
        <v>49</v>
      </c>
      <c r="D15" s="26"/>
      <c r="E15" s="26" t="s">
        <v>50</v>
      </c>
      <c r="F15" s="31" t="s">
        <v>51</v>
      </c>
      <c r="G15" s="31" t="s">
        <v>52</v>
      </c>
    </row>
    <row r="16" spans="1:21" x14ac:dyDescent="0.25">
      <c r="B16" s="32" t="s">
        <v>53</v>
      </c>
      <c r="C16" s="33" t="s">
        <v>54</v>
      </c>
      <c r="D16" s="34" t="s">
        <v>55</v>
      </c>
      <c r="E16" s="33" t="s">
        <v>56</v>
      </c>
      <c r="F16" s="31"/>
      <c r="G16" s="31"/>
    </row>
    <row r="17" spans="1:21" x14ac:dyDescent="0.25">
      <c r="B17" s="35" t="s">
        <v>57</v>
      </c>
      <c r="C17" s="36" t="s">
        <v>58</v>
      </c>
      <c r="D17" s="37" t="s">
        <v>59</v>
      </c>
      <c r="E17" s="38">
        <v>13456400</v>
      </c>
      <c r="F17" s="31">
        <f t="shared" ref="F17:F25" si="3">(E17*21)/100</f>
        <v>2825844</v>
      </c>
      <c r="G17" s="39">
        <f t="shared" ref="G17:G24" si="4">E17+F17</f>
        <v>16282244</v>
      </c>
    </row>
    <row r="18" spans="1:21" x14ac:dyDescent="0.25">
      <c r="B18" s="35" t="s">
        <v>60</v>
      </c>
      <c r="C18" s="38" t="s">
        <v>61</v>
      </c>
      <c r="D18" s="5">
        <v>35</v>
      </c>
      <c r="E18" s="38">
        <v>477050</v>
      </c>
      <c r="F18" s="31">
        <f t="shared" si="3"/>
        <v>100180.5</v>
      </c>
      <c r="G18" s="39">
        <f t="shared" si="4"/>
        <v>577230.5</v>
      </c>
    </row>
    <row r="19" spans="1:21" x14ac:dyDescent="0.25">
      <c r="B19" s="35" t="s">
        <v>62</v>
      </c>
      <c r="C19" s="38">
        <v>4</v>
      </c>
      <c r="D19" s="5" t="s">
        <v>63</v>
      </c>
      <c r="E19" s="38">
        <v>2600000</v>
      </c>
      <c r="F19" s="31">
        <f t="shared" si="3"/>
        <v>546000</v>
      </c>
      <c r="G19" s="39">
        <f t="shared" si="4"/>
        <v>3146000</v>
      </c>
    </row>
    <row r="20" spans="1:21" x14ac:dyDescent="0.25">
      <c r="B20" s="35" t="s">
        <v>64</v>
      </c>
      <c r="C20" s="38">
        <v>1</v>
      </c>
      <c r="D20" s="5" t="s">
        <v>65</v>
      </c>
      <c r="E20" s="38">
        <v>300000</v>
      </c>
      <c r="F20" s="31">
        <f t="shared" si="3"/>
        <v>63000</v>
      </c>
      <c r="G20" s="39">
        <f t="shared" si="4"/>
        <v>363000</v>
      </c>
    </row>
    <row r="21" spans="1:21" x14ac:dyDescent="0.25">
      <c r="B21" s="35" t="s">
        <v>66</v>
      </c>
      <c r="C21" s="38">
        <v>1</v>
      </c>
      <c r="D21" s="5" t="s">
        <v>67</v>
      </c>
      <c r="E21" s="38">
        <v>95000</v>
      </c>
      <c r="F21" s="31">
        <f t="shared" si="3"/>
        <v>19950</v>
      </c>
      <c r="G21" s="39">
        <f t="shared" si="4"/>
        <v>114950</v>
      </c>
    </row>
    <row r="22" spans="1:21" x14ac:dyDescent="0.25">
      <c r="B22" s="35" t="s">
        <v>68</v>
      </c>
      <c r="C22" s="38">
        <v>5</v>
      </c>
      <c r="D22" s="5" t="s">
        <v>69</v>
      </c>
      <c r="E22" s="38">
        <v>275000</v>
      </c>
      <c r="F22" s="31">
        <f t="shared" si="3"/>
        <v>57750</v>
      </c>
      <c r="G22" s="39">
        <f t="shared" si="4"/>
        <v>332750</v>
      </c>
    </row>
    <row r="23" spans="1:21" x14ac:dyDescent="0.25">
      <c r="A23" s="40"/>
      <c r="B23" s="97" t="s">
        <v>70</v>
      </c>
      <c r="C23" s="98"/>
      <c r="D23" s="99"/>
      <c r="E23" s="41">
        <v>250000</v>
      </c>
      <c r="F23" s="42">
        <f t="shared" si="3"/>
        <v>52500</v>
      </c>
      <c r="G23" s="43">
        <f t="shared" si="4"/>
        <v>302500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</row>
    <row r="24" spans="1:21" x14ac:dyDescent="0.25">
      <c r="B24" s="100" t="s">
        <v>71</v>
      </c>
      <c r="C24" s="98"/>
      <c r="D24" s="99"/>
      <c r="E24" s="38">
        <f>C10</f>
        <v>295000</v>
      </c>
      <c r="F24" s="31">
        <f t="shared" si="3"/>
        <v>61950</v>
      </c>
      <c r="G24" s="39">
        <f t="shared" si="4"/>
        <v>356950</v>
      </c>
    </row>
    <row r="25" spans="1:21" x14ac:dyDescent="0.25">
      <c r="B25" s="100" t="s">
        <v>72</v>
      </c>
      <c r="C25" s="98"/>
      <c r="D25" s="99"/>
      <c r="E25" s="38">
        <f>SUM(E17:E24)</f>
        <v>17748450</v>
      </c>
      <c r="F25" s="31">
        <f t="shared" si="3"/>
        <v>3727174.5</v>
      </c>
      <c r="G25" s="39">
        <f>SUM(G17:G24)</f>
        <v>21475624.5</v>
      </c>
    </row>
    <row r="26" spans="1:21" x14ac:dyDescent="0.25">
      <c r="B26" s="101"/>
      <c r="C26" s="98"/>
      <c r="D26" s="99"/>
      <c r="E26" s="44"/>
    </row>
    <row r="27" spans="1:21" x14ac:dyDescent="0.25">
      <c r="B27" s="18" t="s">
        <v>73</v>
      </c>
      <c r="C27" s="45">
        <f>C29+C28</f>
        <v>20816174.5</v>
      </c>
      <c r="D27" s="19"/>
      <c r="G27" s="46">
        <f>C27</f>
        <v>20816174.5</v>
      </c>
    </row>
    <row r="28" spans="1:21" x14ac:dyDescent="0.25">
      <c r="B28" s="18" t="s">
        <v>74</v>
      </c>
      <c r="C28" s="47">
        <f>G19+G20+G21+G22</f>
        <v>3956700</v>
      </c>
      <c r="D28" s="19"/>
      <c r="G28" s="46">
        <f t="shared" ref="G28:G29" si="5">C28+D28</f>
        <v>3956700</v>
      </c>
    </row>
    <row r="29" spans="1:21" x14ac:dyDescent="0.25">
      <c r="B29" s="18" t="s">
        <v>75</v>
      </c>
      <c r="C29" s="47">
        <f>G17+G18</f>
        <v>16859474.5</v>
      </c>
      <c r="D29" s="19"/>
      <c r="G29" s="46">
        <f t="shared" si="5"/>
        <v>16859474.5</v>
      </c>
    </row>
    <row r="30" spans="1:21" x14ac:dyDescent="0.25">
      <c r="B30" s="18" t="s">
        <v>76</v>
      </c>
      <c r="C30" s="48">
        <f>G24</f>
        <v>356950</v>
      </c>
      <c r="D30" s="49"/>
      <c r="G30" s="50">
        <f t="shared" ref="G30:G31" si="6">C30</f>
        <v>356950</v>
      </c>
    </row>
    <row r="31" spans="1:21" x14ac:dyDescent="0.25">
      <c r="B31" s="18" t="s">
        <v>77</v>
      </c>
      <c r="C31" s="51">
        <f>G23+E11</f>
        <v>369050</v>
      </c>
      <c r="D31" s="3"/>
      <c r="G31" s="50">
        <f t="shared" si="6"/>
        <v>369050</v>
      </c>
    </row>
    <row r="32" spans="1:21" x14ac:dyDescent="0.25">
      <c r="B32" s="52"/>
      <c r="C32" s="53" t="s">
        <v>78</v>
      </c>
      <c r="D32" s="54"/>
      <c r="G32" s="55">
        <f>SUM(G28:G31)</f>
        <v>21542174.5</v>
      </c>
    </row>
    <row r="33" spans="2:8" x14ac:dyDescent="0.25">
      <c r="B33" s="18" t="s">
        <v>79</v>
      </c>
      <c r="C33" s="56">
        <v>0.85</v>
      </c>
      <c r="D33" s="19"/>
      <c r="G33" s="45">
        <f>((G27+G30)*85)/100</f>
        <v>17997155.824999999</v>
      </c>
      <c r="H33" s="57">
        <f>(G25*85)/100</f>
        <v>18254280.824999999</v>
      </c>
    </row>
    <row r="34" spans="2:8" x14ac:dyDescent="0.25">
      <c r="B34" s="18" t="s">
        <v>80</v>
      </c>
      <c r="C34" s="56">
        <v>0.15</v>
      </c>
      <c r="D34" s="19"/>
      <c r="G34" s="45">
        <f>((G27+G30)*15)/100</f>
        <v>3175968.6749999998</v>
      </c>
      <c r="H34" s="57">
        <f>G25-H33</f>
        <v>3221343.6750000007</v>
      </c>
    </row>
    <row r="35" spans="2:8" x14ac:dyDescent="0.25">
      <c r="B35" s="58" t="s">
        <v>81</v>
      </c>
      <c r="C35" s="59"/>
      <c r="D35" s="59"/>
      <c r="E35" s="59"/>
      <c r="F35" s="59"/>
      <c r="G35" s="60">
        <f>G34+G31</f>
        <v>3545018.6749999998</v>
      </c>
    </row>
    <row r="36" spans="2:8" x14ac:dyDescent="0.25">
      <c r="B36" s="10"/>
      <c r="E36" s="61"/>
    </row>
    <row r="37" spans="2:8" x14ac:dyDescent="0.25">
      <c r="B37" s="52"/>
    </row>
    <row r="38" spans="2:8" x14ac:dyDescent="0.25">
      <c r="B38" s="52"/>
    </row>
    <row r="39" spans="2:8" x14ac:dyDescent="0.25">
      <c r="B39" s="52"/>
    </row>
    <row r="40" spans="2:8" x14ac:dyDescent="0.25">
      <c r="B40" s="52"/>
    </row>
    <row r="41" spans="2:8" x14ac:dyDescent="0.25">
      <c r="B41" s="52"/>
    </row>
    <row r="42" spans="2:8" x14ac:dyDescent="0.25">
      <c r="B42" s="52"/>
    </row>
    <row r="43" spans="2:8" x14ac:dyDescent="0.25">
      <c r="B43" s="52"/>
    </row>
    <row r="44" spans="2:8" x14ac:dyDescent="0.25">
      <c r="B44" s="52"/>
    </row>
    <row r="45" spans="2:8" x14ac:dyDescent="0.25">
      <c r="B45" s="52"/>
    </row>
    <row r="46" spans="2:8" x14ac:dyDescent="0.25">
      <c r="B46" s="52"/>
    </row>
    <row r="47" spans="2:8" x14ac:dyDescent="0.25">
      <c r="B47" s="52"/>
    </row>
    <row r="48" spans="2:8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</sheetData>
  <mergeCells count="4">
    <mergeCell ref="B23:D23"/>
    <mergeCell ref="B24:D24"/>
    <mergeCell ref="B25:D25"/>
    <mergeCell ref="B26:D26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O26"/>
  <sheetViews>
    <sheetView tabSelected="1" topLeftCell="A14" workbookViewId="0">
      <selection activeCell="N19" sqref="N19"/>
    </sheetView>
  </sheetViews>
  <sheetFormatPr defaultColWidth="14.42578125" defaultRowHeight="15" customHeight="1" x14ac:dyDescent="0.25"/>
  <cols>
    <col min="1" max="1" width="6.28515625" customWidth="1"/>
    <col min="2" max="2" width="25.140625" customWidth="1"/>
    <col min="5" max="9" width="14.42578125" hidden="1" customWidth="1"/>
    <col min="13" max="13" width="14.42578125" hidden="1"/>
  </cols>
  <sheetData>
    <row r="1" spans="1:15" ht="75" x14ac:dyDescent="0.25">
      <c r="C1" s="62" t="s">
        <v>82</v>
      </c>
      <c r="D1" s="63" t="s">
        <v>111</v>
      </c>
      <c r="E1" s="64" t="s">
        <v>83</v>
      </c>
      <c r="F1" s="64" t="s">
        <v>51</v>
      </c>
      <c r="G1" s="64" t="s">
        <v>84</v>
      </c>
      <c r="H1" s="65" t="s">
        <v>85</v>
      </c>
      <c r="I1" s="66" t="s">
        <v>86</v>
      </c>
      <c r="J1" s="67" t="s">
        <v>112</v>
      </c>
      <c r="K1" s="104" t="s">
        <v>87</v>
      </c>
      <c r="L1" s="105"/>
      <c r="M1" s="102" t="s">
        <v>88</v>
      </c>
      <c r="N1" s="103"/>
      <c r="O1" s="68" t="s">
        <v>89</v>
      </c>
    </row>
    <row r="2" spans="1:15" x14ac:dyDescent="0.25">
      <c r="A2" s="69"/>
      <c r="B2" s="69"/>
      <c r="D2" s="70"/>
      <c r="E2" s="71"/>
      <c r="F2" s="71"/>
      <c r="G2" s="71"/>
      <c r="H2" s="71"/>
      <c r="I2" s="71"/>
      <c r="J2" s="70"/>
      <c r="K2" s="72"/>
      <c r="L2" s="73" t="s">
        <v>90</v>
      </c>
      <c r="M2" s="74"/>
      <c r="N2" s="74" t="s">
        <v>90</v>
      </c>
      <c r="O2" s="75" t="s">
        <v>90</v>
      </c>
    </row>
    <row r="3" spans="1:15" hidden="1" x14ac:dyDescent="0.25">
      <c r="A3" s="76"/>
      <c r="B3" s="76" t="s">
        <v>45</v>
      </c>
      <c r="D3" s="77"/>
      <c r="E3" s="78"/>
      <c r="F3" s="78"/>
      <c r="G3" s="78"/>
      <c r="H3" s="78"/>
      <c r="I3" s="79">
        <f>financování_zadost!G31</f>
        <v>369050</v>
      </c>
      <c r="J3" s="77"/>
      <c r="K3" s="80"/>
      <c r="L3" s="80"/>
      <c r="M3" s="81">
        <f>financování_zadost!E3</f>
        <v>133100</v>
      </c>
      <c r="N3" s="82"/>
      <c r="O3" s="83"/>
    </row>
    <row r="4" spans="1:15" hidden="1" x14ac:dyDescent="0.25">
      <c r="D4" s="84"/>
      <c r="E4" s="85"/>
      <c r="J4" s="77"/>
      <c r="K4" s="59"/>
      <c r="L4" s="59"/>
      <c r="M4" s="82"/>
      <c r="N4" s="82"/>
      <c r="O4" s="83"/>
    </row>
    <row r="5" spans="1:15" x14ac:dyDescent="0.25">
      <c r="B5" s="86" t="s">
        <v>91</v>
      </c>
      <c r="C5" s="87">
        <v>688</v>
      </c>
      <c r="D5" s="88">
        <v>151</v>
      </c>
      <c r="E5" s="39">
        <f t="shared" ref="E5:E22" si="0">D5*C5</f>
        <v>103888</v>
      </c>
      <c r="F5" s="39">
        <f t="shared" ref="F5:F22" si="1">(E5*21)/100</f>
        <v>21816.48</v>
      </c>
      <c r="G5" s="39">
        <f t="shared" ref="G5:G22" si="2">E5+F5</f>
        <v>125704.48</v>
      </c>
      <c r="H5" s="39">
        <f t="shared" ref="H5:H22" si="3">$H$24*C5</f>
        <v>5934.2796666805043</v>
      </c>
      <c r="I5" s="39">
        <f t="shared" ref="I5:I22" si="4">C5*$I$24</f>
        <v>10526.362920276937</v>
      </c>
      <c r="J5" s="89">
        <f>L5/C5</f>
        <v>206.63517441860466</v>
      </c>
      <c r="K5" s="90">
        <f>G5+H5+I5</f>
        <v>142165.12258695744</v>
      </c>
      <c r="L5" s="90">
        <f t="shared" ref="L5:L22" si="5">ROUND(K5,0)</f>
        <v>142165</v>
      </c>
      <c r="M5" s="91">
        <f t="shared" ref="M5:M22" si="6">$M$24*C5</f>
        <v>3796.393184362174</v>
      </c>
      <c r="N5" s="91">
        <f t="shared" ref="N5:N22" si="7">ROUND(M5,0)</f>
        <v>3796</v>
      </c>
      <c r="O5" s="92">
        <f t="shared" ref="O5:O22" si="8">L5-N5</f>
        <v>138369</v>
      </c>
    </row>
    <row r="6" spans="1:15" x14ac:dyDescent="0.25">
      <c r="B6" s="93" t="s">
        <v>92</v>
      </c>
      <c r="C6" s="94">
        <v>917</v>
      </c>
      <c r="D6" s="88">
        <v>115</v>
      </c>
      <c r="E6" s="39">
        <f t="shared" si="0"/>
        <v>105455</v>
      </c>
      <c r="F6" s="39">
        <f t="shared" si="1"/>
        <v>22145.55</v>
      </c>
      <c r="G6" s="39">
        <f t="shared" si="2"/>
        <v>127600.55</v>
      </c>
      <c r="H6" s="39">
        <f t="shared" si="3"/>
        <v>7909.4977534099162</v>
      </c>
      <c r="I6" s="39">
        <f t="shared" si="4"/>
        <v>14030.050578334231</v>
      </c>
      <c r="J6" s="89">
        <f t="shared" ref="J6:J22" si="9">L6/C6</f>
        <v>163.07524536532171</v>
      </c>
      <c r="K6" s="90">
        <f t="shared" ref="K6:K22" si="10">G6+H6+I6</f>
        <v>149540.09833174414</v>
      </c>
      <c r="L6" s="90">
        <f t="shared" si="5"/>
        <v>149540</v>
      </c>
      <c r="M6" s="91">
        <f t="shared" si="6"/>
        <v>5060.0182413664443</v>
      </c>
      <c r="N6" s="91">
        <f t="shared" si="7"/>
        <v>5060</v>
      </c>
      <c r="O6" s="92">
        <f t="shared" si="8"/>
        <v>144480</v>
      </c>
    </row>
    <row r="7" spans="1:15" x14ac:dyDescent="0.25">
      <c r="B7" s="93" t="s">
        <v>93</v>
      </c>
      <c r="C7" s="94">
        <v>319</v>
      </c>
      <c r="D7" s="88">
        <v>121</v>
      </c>
      <c r="E7" s="39">
        <f t="shared" si="0"/>
        <v>38599</v>
      </c>
      <c r="F7" s="39">
        <f t="shared" si="1"/>
        <v>8105.79</v>
      </c>
      <c r="G7" s="39">
        <f t="shared" si="2"/>
        <v>46704.79</v>
      </c>
      <c r="H7" s="39">
        <f t="shared" si="3"/>
        <v>2751.5046710335478</v>
      </c>
      <c r="I7" s="39">
        <f t="shared" si="4"/>
        <v>4880.6828075121257</v>
      </c>
      <c r="J7" s="89">
        <f t="shared" si="9"/>
        <v>170.33542319749216</v>
      </c>
      <c r="K7" s="90">
        <f t="shared" si="10"/>
        <v>54336.977478545668</v>
      </c>
      <c r="L7" s="90">
        <f t="shared" si="5"/>
        <v>54337</v>
      </c>
      <c r="M7" s="91">
        <f t="shared" si="6"/>
        <v>1760.2462584469963</v>
      </c>
      <c r="N7" s="91">
        <f t="shared" si="7"/>
        <v>1760</v>
      </c>
      <c r="O7" s="92">
        <f t="shared" si="8"/>
        <v>52577</v>
      </c>
    </row>
    <row r="8" spans="1:15" x14ac:dyDescent="0.25">
      <c r="B8" s="93" t="s">
        <v>94</v>
      </c>
      <c r="C8" s="94">
        <v>692</v>
      </c>
      <c r="D8" s="88">
        <v>125</v>
      </c>
      <c r="E8" s="39">
        <f t="shared" si="0"/>
        <v>86500</v>
      </c>
      <c r="F8" s="39">
        <f t="shared" si="1"/>
        <v>18165</v>
      </c>
      <c r="G8" s="39">
        <f t="shared" si="2"/>
        <v>104665</v>
      </c>
      <c r="H8" s="39">
        <f t="shared" si="3"/>
        <v>5968.7812926495772</v>
      </c>
      <c r="I8" s="39">
        <f t="shared" si="4"/>
        <v>10587.562704697151</v>
      </c>
      <c r="J8" s="89">
        <f t="shared" si="9"/>
        <v>175.17485549132948</v>
      </c>
      <c r="K8" s="90">
        <f t="shared" si="10"/>
        <v>121221.34399734673</v>
      </c>
      <c r="L8" s="90">
        <f t="shared" si="5"/>
        <v>121221</v>
      </c>
      <c r="M8" s="91">
        <f t="shared" si="6"/>
        <v>3818.4652377596285</v>
      </c>
      <c r="N8" s="91">
        <f t="shared" si="7"/>
        <v>3818</v>
      </c>
      <c r="O8" s="92">
        <f t="shared" si="8"/>
        <v>117403</v>
      </c>
    </row>
    <row r="9" spans="1:15" x14ac:dyDescent="0.25">
      <c r="B9" s="93" t="s">
        <v>95</v>
      </c>
      <c r="C9" s="94">
        <v>562</v>
      </c>
      <c r="D9" s="88">
        <v>139</v>
      </c>
      <c r="E9" s="39">
        <f t="shared" si="0"/>
        <v>78118</v>
      </c>
      <c r="F9" s="39">
        <f t="shared" si="1"/>
        <v>16404.78</v>
      </c>
      <c r="G9" s="39">
        <f t="shared" si="2"/>
        <v>94522.78</v>
      </c>
      <c r="H9" s="39">
        <f t="shared" si="3"/>
        <v>4847.4784486547142</v>
      </c>
      <c r="I9" s="39">
        <f t="shared" si="4"/>
        <v>8598.5697110401725</v>
      </c>
      <c r="J9" s="89">
        <f t="shared" si="9"/>
        <v>192.11565836298934</v>
      </c>
      <c r="K9" s="90">
        <f t="shared" si="10"/>
        <v>107968.82815969488</v>
      </c>
      <c r="L9" s="90">
        <f t="shared" si="5"/>
        <v>107969</v>
      </c>
      <c r="M9" s="91">
        <f t="shared" si="6"/>
        <v>3101.1235023423574</v>
      </c>
      <c r="N9" s="91">
        <f t="shared" si="7"/>
        <v>3101</v>
      </c>
      <c r="O9" s="92">
        <f t="shared" si="8"/>
        <v>104868</v>
      </c>
    </row>
    <row r="10" spans="1:15" x14ac:dyDescent="0.25">
      <c r="B10" s="93" t="s">
        <v>96</v>
      </c>
      <c r="C10" s="94">
        <v>7277</v>
      </c>
      <c r="D10" s="88">
        <v>97</v>
      </c>
      <c r="E10" s="39">
        <f t="shared" si="0"/>
        <v>705869</v>
      </c>
      <c r="F10" s="39">
        <f t="shared" si="1"/>
        <v>148232.49</v>
      </c>
      <c r="G10" s="39">
        <f t="shared" si="2"/>
        <v>854101.49</v>
      </c>
      <c r="H10" s="39">
        <f t="shared" si="3"/>
        <v>62767.083044235507</v>
      </c>
      <c r="I10" s="39">
        <f t="shared" si="4"/>
        <v>111337.70780647568</v>
      </c>
      <c r="J10" s="89">
        <f t="shared" si="9"/>
        <v>141.29531400302324</v>
      </c>
      <c r="K10" s="90">
        <f t="shared" si="10"/>
        <v>1028206.2808507112</v>
      </c>
      <c r="L10" s="90">
        <f t="shared" si="5"/>
        <v>1028206</v>
      </c>
      <c r="M10" s="91">
        <f t="shared" si="6"/>
        <v>40154.583143319098</v>
      </c>
      <c r="N10" s="91">
        <f t="shared" si="7"/>
        <v>40155</v>
      </c>
      <c r="O10" s="92">
        <f t="shared" si="8"/>
        <v>988051</v>
      </c>
    </row>
    <row r="11" spans="1:15" x14ac:dyDescent="0.25">
      <c r="B11" s="93" t="s">
        <v>97</v>
      </c>
      <c r="C11" s="94">
        <v>437</v>
      </c>
      <c r="D11" s="88">
        <v>133</v>
      </c>
      <c r="E11" s="39">
        <f t="shared" si="0"/>
        <v>58121</v>
      </c>
      <c r="F11" s="39">
        <f t="shared" si="1"/>
        <v>12205.41</v>
      </c>
      <c r="G11" s="39">
        <f t="shared" si="2"/>
        <v>70326.41</v>
      </c>
      <c r="H11" s="39">
        <f t="shared" si="3"/>
        <v>3769.3026371211922</v>
      </c>
      <c r="I11" s="39">
        <f t="shared" si="4"/>
        <v>6686.076447908461</v>
      </c>
      <c r="J11" s="89">
        <f t="shared" si="9"/>
        <v>184.85583524027459</v>
      </c>
      <c r="K11" s="90">
        <f t="shared" si="10"/>
        <v>80781.789085029654</v>
      </c>
      <c r="L11" s="90">
        <f t="shared" si="5"/>
        <v>80782</v>
      </c>
      <c r="M11" s="91">
        <f t="shared" si="6"/>
        <v>2411.3718336719039</v>
      </c>
      <c r="N11" s="91">
        <f t="shared" si="7"/>
        <v>2411</v>
      </c>
      <c r="O11" s="92">
        <f t="shared" si="8"/>
        <v>78371</v>
      </c>
    </row>
    <row r="12" spans="1:15" x14ac:dyDescent="0.25">
      <c r="B12" s="93" t="s">
        <v>98</v>
      </c>
      <c r="C12" s="94">
        <v>2685</v>
      </c>
      <c r="D12" s="88">
        <v>102</v>
      </c>
      <c r="E12" s="39">
        <f t="shared" si="0"/>
        <v>273870</v>
      </c>
      <c r="F12" s="39">
        <f t="shared" si="1"/>
        <v>57512.7</v>
      </c>
      <c r="G12" s="39">
        <f t="shared" si="2"/>
        <v>331382.7</v>
      </c>
      <c r="H12" s="39">
        <f t="shared" si="3"/>
        <v>23159.216431740049</v>
      </c>
      <c r="I12" s="39">
        <f t="shared" si="4"/>
        <v>41080.355292069151</v>
      </c>
      <c r="J12" s="89">
        <f t="shared" si="9"/>
        <v>147.34525139664805</v>
      </c>
      <c r="K12" s="90">
        <f t="shared" si="10"/>
        <v>395622.27172380919</v>
      </c>
      <c r="L12" s="90">
        <f t="shared" si="5"/>
        <v>395622</v>
      </c>
      <c r="M12" s="91">
        <f t="shared" si="6"/>
        <v>14815.865843041332</v>
      </c>
      <c r="N12" s="91">
        <f t="shared" si="7"/>
        <v>14816</v>
      </c>
      <c r="O12" s="92">
        <f t="shared" si="8"/>
        <v>380806</v>
      </c>
    </row>
    <row r="13" spans="1:15" x14ac:dyDescent="0.25">
      <c r="B13" s="93" t="s">
        <v>99</v>
      </c>
      <c r="C13" s="94">
        <v>279</v>
      </c>
      <c r="D13" s="88">
        <v>133</v>
      </c>
      <c r="E13" s="39">
        <f t="shared" si="0"/>
        <v>37107</v>
      </c>
      <c r="F13" s="39">
        <f t="shared" si="1"/>
        <v>7792.47</v>
      </c>
      <c r="G13" s="39">
        <f t="shared" si="2"/>
        <v>44899.47</v>
      </c>
      <c r="H13" s="39">
        <f t="shared" si="3"/>
        <v>2406.4884113428207</v>
      </c>
      <c r="I13" s="39">
        <f t="shared" si="4"/>
        <v>4268.6849633099782</v>
      </c>
      <c r="J13" s="89">
        <f t="shared" si="9"/>
        <v>184.85663082437276</v>
      </c>
      <c r="K13" s="90">
        <f t="shared" si="10"/>
        <v>51574.643374652798</v>
      </c>
      <c r="L13" s="90">
        <f t="shared" si="5"/>
        <v>51575</v>
      </c>
      <c r="M13" s="91">
        <f t="shared" si="6"/>
        <v>1539.5257244724514</v>
      </c>
      <c r="N13" s="91">
        <f t="shared" si="7"/>
        <v>1540</v>
      </c>
      <c r="O13" s="92">
        <f t="shared" si="8"/>
        <v>50035</v>
      </c>
    </row>
    <row r="14" spans="1:15" x14ac:dyDescent="0.25">
      <c r="B14" s="93" t="s">
        <v>100</v>
      </c>
      <c r="C14" s="94">
        <v>229</v>
      </c>
      <c r="D14" s="88">
        <v>139</v>
      </c>
      <c r="E14" s="39">
        <f t="shared" si="0"/>
        <v>31831</v>
      </c>
      <c r="F14" s="39">
        <f t="shared" si="1"/>
        <v>6684.51</v>
      </c>
      <c r="G14" s="39">
        <f t="shared" si="2"/>
        <v>38515.51</v>
      </c>
      <c r="H14" s="39">
        <f t="shared" si="3"/>
        <v>1975.2180867294119</v>
      </c>
      <c r="I14" s="39">
        <f t="shared" si="4"/>
        <v>3503.6876580572944</v>
      </c>
      <c r="J14" s="89">
        <f>L14/C14</f>
        <v>192.11353711790392</v>
      </c>
      <c r="K14" s="90">
        <f t="shared" si="10"/>
        <v>43994.415744786711</v>
      </c>
      <c r="L14" s="90">
        <f t="shared" si="5"/>
        <v>43994</v>
      </c>
      <c r="M14" s="91">
        <f t="shared" si="6"/>
        <v>1263.62505700427</v>
      </c>
      <c r="N14" s="91">
        <f t="shared" si="7"/>
        <v>1264</v>
      </c>
      <c r="O14" s="92">
        <f t="shared" si="8"/>
        <v>42730</v>
      </c>
    </row>
    <row r="15" spans="1:15" x14ac:dyDescent="0.25">
      <c r="B15" s="93" t="s">
        <v>101</v>
      </c>
      <c r="C15" s="94">
        <v>627</v>
      </c>
      <c r="D15" s="88">
        <v>138</v>
      </c>
      <c r="E15" s="39">
        <f t="shared" si="0"/>
        <v>86526</v>
      </c>
      <c r="F15" s="39">
        <f t="shared" si="1"/>
        <v>18170.46</v>
      </c>
      <c r="G15" s="39">
        <f t="shared" si="2"/>
        <v>104696.45999999999</v>
      </c>
      <c r="H15" s="39">
        <f t="shared" si="3"/>
        <v>5408.1298706521457</v>
      </c>
      <c r="I15" s="39">
        <f t="shared" si="4"/>
        <v>9593.0662078686619</v>
      </c>
      <c r="J15" s="89">
        <f t="shared" si="9"/>
        <v>190.90590111642743</v>
      </c>
      <c r="K15" s="90">
        <f t="shared" si="10"/>
        <v>119697.6560785208</v>
      </c>
      <c r="L15" s="90">
        <f t="shared" si="5"/>
        <v>119698</v>
      </c>
      <c r="M15" s="91">
        <f t="shared" si="6"/>
        <v>3459.7943700509927</v>
      </c>
      <c r="N15" s="91">
        <f t="shared" si="7"/>
        <v>3460</v>
      </c>
      <c r="O15" s="92">
        <f t="shared" si="8"/>
        <v>116238</v>
      </c>
    </row>
    <row r="16" spans="1:15" x14ac:dyDescent="0.25">
      <c r="B16" s="93" t="s">
        <v>102</v>
      </c>
      <c r="C16" s="94">
        <v>487</v>
      </c>
      <c r="D16" s="88">
        <v>130</v>
      </c>
      <c r="E16" s="39">
        <f t="shared" si="0"/>
        <v>63310</v>
      </c>
      <c r="F16" s="39">
        <f t="shared" si="1"/>
        <v>13295.1</v>
      </c>
      <c r="G16" s="39">
        <f t="shared" si="2"/>
        <v>76605.100000000006</v>
      </c>
      <c r="H16" s="39">
        <f t="shared" si="3"/>
        <v>4200.5729617346014</v>
      </c>
      <c r="I16" s="39">
        <f t="shared" si="4"/>
        <v>7451.0737531611458</v>
      </c>
      <c r="J16" s="89">
        <f t="shared" si="9"/>
        <v>181.2258726899384</v>
      </c>
      <c r="K16" s="90">
        <f t="shared" si="10"/>
        <v>88256.746714895766</v>
      </c>
      <c r="L16" s="90">
        <f t="shared" si="5"/>
        <v>88257</v>
      </c>
      <c r="M16" s="91">
        <f t="shared" si="6"/>
        <v>2687.2725011400853</v>
      </c>
      <c r="N16" s="91">
        <f t="shared" si="7"/>
        <v>2687</v>
      </c>
      <c r="O16" s="92">
        <f t="shared" si="8"/>
        <v>85570</v>
      </c>
    </row>
    <row r="17" spans="1:15" x14ac:dyDescent="0.25">
      <c r="B17" s="93" t="s">
        <v>103</v>
      </c>
      <c r="C17" s="94">
        <v>352</v>
      </c>
      <c r="D17" s="88">
        <v>141</v>
      </c>
      <c r="E17" s="39">
        <f t="shared" si="0"/>
        <v>49632</v>
      </c>
      <c r="F17" s="39">
        <f t="shared" si="1"/>
        <v>10422.719999999999</v>
      </c>
      <c r="G17" s="39">
        <f t="shared" si="2"/>
        <v>60054.720000000001</v>
      </c>
      <c r="H17" s="39">
        <f t="shared" si="3"/>
        <v>3036.1430852783974</v>
      </c>
      <c r="I17" s="39">
        <f t="shared" si="4"/>
        <v>5385.5810289788978</v>
      </c>
      <c r="J17" s="89">
        <f t="shared" si="9"/>
        <v>194.53409090909091</v>
      </c>
      <c r="K17" s="90">
        <f t="shared" si="10"/>
        <v>68476.44411425729</v>
      </c>
      <c r="L17" s="90">
        <f t="shared" si="5"/>
        <v>68476</v>
      </c>
      <c r="M17" s="91">
        <f t="shared" si="6"/>
        <v>1942.340698975996</v>
      </c>
      <c r="N17" s="91">
        <f t="shared" si="7"/>
        <v>1942</v>
      </c>
      <c r="O17" s="92">
        <f t="shared" si="8"/>
        <v>66534</v>
      </c>
    </row>
    <row r="18" spans="1:15" x14ac:dyDescent="0.25">
      <c r="B18" s="93" t="s">
        <v>104</v>
      </c>
      <c r="C18" s="94">
        <v>462</v>
      </c>
      <c r="D18" s="88">
        <v>111</v>
      </c>
      <c r="E18" s="39">
        <f t="shared" si="0"/>
        <v>51282</v>
      </c>
      <c r="F18" s="39">
        <f t="shared" si="1"/>
        <v>10769.22</v>
      </c>
      <c r="G18" s="39">
        <f t="shared" si="2"/>
        <v>62051.22</v>
      </c>
      <c r="H18" s="39">
        <f t="shared" si="3"/>
        <v>3984.9377994278966</v>
      </c>
      <c r="I18" s="39">
        <f t="shared" si="4"/>
        <v>7068.5751005348029</v>
      </c>
      <c r="J18" s="89">
        <f t="shared" si="9"/>
        <v>158.23593073593074</v>
      </c>
      <c r="K18" s="90">
        <f t="shared" si="10"/>
        <v>73104.732899962692</v>
      </c>
      <c r="L18" s="90">
        <f t="shared" si="5"/>
        <v>73105</v>
      </c>
      <c r="M18" s="91">
        <f t="shared" si="6"/>
        <v>2549.3221674059946</v>
      </c>
      <c r="N18" s="91">
        <f t="shared" si="7"/>
        <v>2549</v>
      </c>
      <c r="O18" s="92">
        <f t="shared" si="8"/>
        <v>70556</v>
      </c>
    </row>
    <row r="19" spans="1:15" x14ac:dyDescent="0.25">
      <c r="B19" s="93" t="s">
        <v>105</v>
      </c>
      <c r="C19" s="94">
        <v>3670</v>
      </c>
      <c r="D19" s="88">
        <v>109</v>
      </c>
      <c r="E19" s="39">
        <f t="shared" si="0"/>
        <v>400030</v>
      </c>
      <c r="F19" s="39">
        <f t="shared" si="1"/>
        <v>84006.3</v>
      </c>
      <c r="G19" s="39">
        <f t="shared" si="2"/>
        <v>484036.3</v>
      </c>
      <c r="H19" s="39">
        <f t="shared" si="3"/>
        <v>31655.241826624202</v>
      </c>
      <c r="I19" s="39">
        <f t="shared" si="4"/>
        <v>56150.802205547028</v>
      </c>
      <c r="J19" s="89">
        <f t="shared" si="9"/>
        <v>155.81525885558582</v>
      </c>
      <c r="K19" s="90">
        <f t="shared" si="10"/>
        <v>571842.34403217118</v>
      </c>
      <c r="L19" s="90">
        <f t="shared" si="5"/>
        <v>571842</v>
      </c>
      <c r="M19" s="91">
        <f t="shared" si="6"/>
        <v>20251.108992164503</v>
      </c>
      <c r="N19" s="91">
        <f t="shared" si="7"/>
        <v>20251</v>
      </c>
      <c r="O19" s="92">
        <f t="shared" si="8"/>
        <v>551591</v>
      </c>
    </row>
    <row r="20" spans="1:15" x14ac:dyDescent="0.25">
      <c r="B20" s="93" t="s">
        <v>106</v>
      </c>
      <c r="C20" s="94">
        <v>297</v>
      </c>
      <c r="D20" s="88">
        <v>125</v>
      </c>
      <c r="E20" s="39">
        <f t="shared" si="0"/>
        <v>37125</v>
      </c>
      <c r="F20" s="39">
        <f t="shared" si="1"/>
        <v>7796.25</v>
      </c>
      <c r="G20" s="39">
        <f t="shared" si="2"/>
        <v>44921.25</v>
      </c>
      <c r="H20" s="39">
        <f t="shared" si="3"/>
        <v>2561.745728203648</v>
      </c>
      <c r="I20" s="39">
        <f t="shared" si="4"/>
        <v>4544.0839932009449</v>
      </c>
      <c r="J20" s="89">
        <f t="shared" si="9"/>
        <v>175.17508417508418</v>
      </c>
      <c r="K20" s="90">
        <f t="shared" si="10"/>
        <v>52027.079721404596</v>
      </c>
      <c r="L20" s="90">
        <f t="shared" si="5"/>
        <v>52027</v>
      </c>
      <c r="M20" s="91">
        <f t="shared" si="6"/>
        <v>1638.8499647609967</v>
      </c>
      <c r="N20" s="91">
        <f t="shared" si="7"/>
        <v>1639</v>
      </c>
      <c r="O20" s="92">
        <f t="shared" si="8"/>
        <v>50388</v>
      </c>
    </row>
    <row r="21" spans="1:15" x14ac:dyDescent="0.25">
      <c r="B21" s="93" t="s">
        <v>107</v>
      </c>
      <c r="C21" s="94">
        <v>2804</v>
      </c>
      <c r="D21" s="88">
        <v>123</v>
      </c>
      <c r="E21" s="39">
        <f t="shared" si="0"/>
        <v>344892</v>
      </c>
      <c r="F21" s="39">
        <f t="shared" si="1"/>
        <v>72427.320000000007</v>
      </c>
      <c r="G21" s="39">
        <f t="shared" si="2"/>
        <v>417319.32</v>
      </c>
      <c r="H21" s="39">
        <f t="shared" si="3"/>
        <v>24185.639804319962</v>
      </c>
      <c r="I21" s="39">
        <f t="shared" si="4"/>
        <v>42901.048878570538</v>
      </c>
      <c r="J21" s="89">
        <f t="shared" si="9"/>
        <v>172.75534950071327</v>
      </c>
      <c r="K21" s="90">
        <f t="shared" si="10"/>
        <v>484406.0086828905</v>
      </c>
      <c r="L21" s="90">
        <f t="shared" si="5"/>
        <v>484406</v>
      </c>
      <c r="M21" s="91">
        <f t="shared" si="6"/>
        <v>15472.509431615605</v>
      </c>
      <c r="N21" s="91">
        <f t="shared" si="7"/>
        <v>15473</v>
      </c>
      <c r="O21" s="92">
        <f t="shared" si="8"/>
        <v>468933</v>
      </c>
    </row>
    <row r="22" spans="1:15" x14ac:dyDescent="0.25">
      <c r="B22" s="93" t="s">
        <v>108</v>
      </c>
      <c r="C22" s="94">
        <v>1337</v>
      </c>
      <c r="D22" s="88">
        <v>126</v>
      </c>
      <c r="E22" s="39">
        <f t="shared" si="0"/>
        <v>168462</v>
      </c>
      <c r="F22" s="39">
        <f t="shared" si="1"/>
        <v>35377.019999999997</v>
      </c>
      <c r="G22" s="39">
        <f t="shared" si="2"/>
        <v>203839.02</v>
      </c>
      <c r="H22" s="39">
        <f t="shared" si="3"/>
        <v>11532.168480162549</v>
      </c>
      <c r="I22" s="39">
        <f t="shared" si="4"/>
        <v>20456.027942456778</v>
      </c>
      <c r="J22" s="89">
        <f t="shared" si="9"/>
        <v>176.38519072550486</v>
      </c>
      <c r="K22" s="90">
        <f t="shared" si="10"/>
        <v>235827.2164226193</v>
      </c>
      <c r="L22" s="90">
        <f t="shared" si="5"/>
        <v>235827</v>
      </c>
      <c r="M22" s="91">
        <f t="shared" si="6"/>
        <v>7377.583848099167</v>
      </c>
      <c r="N22" s="91">
        <f t="shared" si="7"/>
        <v>7378</v>
      </c>
      <c r="O22" s="92">
        <f t="shared" si="8"/>
        <v>228449</v>
      </c>
    </row>
    <row r="23" spans="1:15" x14ac:dyDescent="0.25">
      <c r="A23" s="95"/>
      <c r="B23" s="95" t="s">
        <v>109</v>
      </c>
      <c r="C23" s="95">
        <f>SUM(C4:C22)</f>
        <v>24121</v>
      </c>
      <c r="D23" s="95"/>
      <c r="E23" s="96">
        <f t="shared" ref="E23:H23" si="11">SUM(E2:E22)</f>
        <v>2720617</v>
      </c>
      <c r="F23" s="96">
        <f t="shared" si="11"/>
        <v>571329.56999999995</v>
      </c>
      <c r="G23" s="96">
        <f t="shared" si="11"/>
        <v>3291946.5699999994</v>
      </c>
      <c r="H23" s="96">
        <f t="shared" si="11"/>
        <v>208053.43000000063</v>
      </c>
      <c r="I23" s="96">
        <f>SUM(I5:I22)</f>
        <v>369050.00000000006</v>
      </c>
      <c r="J23" s="95"/>
      <c r="K23" s="96">
        <f t="shared" ref="K23:L23" si="12">SUM(K5:K22)</f>
        <v>3869050</v>
      </c>
      <c r="L23" s="96">
        <f t="shared" si="12"/>
        <v>3869049</v>
      </c>
      <c r="M23" s="96">
        <f t="shared" ref="M23:N23" si="13">SUM(M5:M22)</f>
        <v>133100</v>
      </c>
      <c r="N23" s="96">
        <f t="shared" si="13"/>
        <v>133100</v>
      </c>
      <c r="O23" s="96">
        <f>SUM(O2:O22)</f>
        <v>3735949</v>
      </c>
    </row>
    <row r="24" spans="1:15" x14ac:dyDescent="0.25">
      <c r="B24" s="85" t="s">
        <v>110</v>
      </c>
      <c r="H24" s="85">
        <f>E25/C23</f>
        <v>8.6254064922681746</v>
      </c>
      <c r="I24" s="85">
        <f>I3/C23</f>
        <v>15.299946105053687</v>
      </c>
      <c r="K24" s="85">
        <f>K23/C23</f>
        <v>160.40172463828199</v>
      </c>
      <c r="M24" s="85">
        <f>M3/C23</f>
        <v>5.518013349363625</v>
      </c>
    </row>
    <row r="25" spans="1:15" x14ac:dyDescent="0.25">
      <c r="D25" s="106" t="s">
        <v>85</v>
      </c>
      <c r="E25" s="57">
        <f>3500000-G23</f>
        <v>208053.43000000063</v>
      </c>
      <c r="N25" s="57">
        <f>O23+N23</f>
        <v>3869049</v>
      </c>
    </row>
    <row r="26" spans="1:15" x14ac:dyDescent="0.25">
      <c r="D26" s="107"/>
      <c r="E26" s="85">
        <f>(100*E25)/3500000</f>
        <v>5.9443837142857321</v>
      </c>
    </row>
  </sheetData>
  <mergeCells count="3">
    <mergeCell ref="M1:N1"/>
    <mergeCell ref="K1:L1"/>
    <mergeCell ref="D25:D26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B3"/>
  <sheetViews>
    <sheetView workbookViewId="0"/>
  </sheetViews>
  <sheetFormatPr defaultColWidth="14.42578125" defaultRowHeight="15" customHeight="1" x14ac:dyDescent="0.25"/>
  <sheetData>
    <row r="2" spans="1:2" ht="15" customHeight="1" x14ac:dyDescent="0.25">
      <c r="A2" s="3"/>
      <c r="B2" s="85"/>
    </row>
    <row r="3" spans="1:2" ht="15" customHeight="1" x14ac:dyDescent="0.25">
      <c r="A3" s="3"/>
      <c r="B3" s="8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harmonogram</vt:lpstr>
      <vt:lpstr>financování_zadost</vt:lpstr>
      <vt:lpstr>financování_obce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Petrovic</cp:lastModifiedBy>
  <dcterms:created xsi:type="dcterms:W3CDTF">2022-11-28T09:03:23Z</dcterms:created>
  <dcterms:modified xsi:type="dcterms:W3CDTF">2023-05-02T13:48:17Z</dcterms:modified>
</cp:coreProperties>
</file>