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Petrovic\Desktop\"/>
    </mc:Choice>
  </mc:AlternateContent>
  <xr:revisionPtr revIDLastSave="0" documentId="13_ncr:1_{E96CA827-6584-4DCC-8C22-7FC244827CCE}" xr6:coauthVersionLast="47" xr6:coauthVersionMax="47" xr10:uidLastSave="{00000000-0000-0000-0000-000000000000}"/>
  <bookViews>
    <workbookView xWindow="-120" yWindow="-120" windowWidth="29040" windowHeight="15840" tabRatio="899" firstSheet="1" activeTab="6" xr2:uid="{00000000-000D-0000-FFFF-FFFF00000000}"/>
  </bookViews>
  <sheets>
    <sheet name="KOMENTÁŘE" sheetId="46" state="hidden" r:id="rId1"/>
    <sheet name="rozpočet 2023" sheetId="45" r:id="rId2"/>
    <sheet name="rozpis rozpočtu 2023" sheetId="18" r:id="rId3"/>
    <sheet name="Sumář všech příspěvků rok 2023" sheetId="19" r:id="rId4"/>
    <sheet name="č. 1 čl. přísp." sheetId="16" r:id="rId5"/>
    <sheet name="č. 2 Protidrogová prevence 2019" sheetId="17" state="hidden" r:id="rId6"/>
    <sheet name="č. 2 soc.služby" sheetId="44" r:id="rId7"/>
    <sheet name="č. 3 příspěvek OSA" sheetId="33" r:id="rId8"/>
    <sheet name="č. 4 protidrog.prevence" sheetId="25" r:id="rId9"/>
    <sheet name=" č.5 SVP" sheetId="35" r:id="rId10"/>
    <sheet name="č. 6 Heřmanička" sheetId="38" r:id="rId11"/>
    <sheet name="č.7 komunitní plánování" sheetId="41" r:id="rId12"/>
    <sheet name="č. 8 - xxxx" sheetId="39" r:id="rId13"/>
    <sheet name="manažer odpady" sheetId="47" r:id="rId14"/>
    <sheet name="POV podíl obcí 2022-3" sheetId="48" r:id="rId15"/>
  </sheets>
  <externalReferences>
    <externalReference r:id="rId16"/>
  </externalReferences>
  <calcPr calcId="191028"/>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4" i="44" l="1"/>
  <c r="K23" i="44"/>
  <c r="K22" i="44"/>
  <c r="K21" i="44"/>
  <c r="K20" i="44"/>
  <c r="K19" i="44"/>
  <c r="K18" i="44"/>
  <c r="K17" i="44"/>
  <c r="K16" i="44"/>
  <c r="K15" i="44"/>
  <c r="K14" i="44"/>
  <c r="K13" i="44"/>
  <c r="K12" i="44"/>
  <c r="K11" i="44"/>
  <c r="K10" i="44"/>
  <c r="K9" i="44"/>
  <c r="K8" i="44"/>
  <c r="K7" i="44"/>
  <c r="K6" i="44"/>
  <c r="M24" i="44"/>
  <c r="M23" i="44"/>
  <c r="M22" i="44"/>
  <c r="M21" i="44"/>
  <c r="M20" i="44"/>
  <c r="M19" i="44"/>
  <c r="M18" i="44"/>
  <c r="M17" i="44"/>
  <c r="M16" i="44"/>
  <c r="M15" i="44"/>
  <c r="M14" i="44"/>
  <c r="M13" i="44"/>
  <c r="M12" i="44"/>
  <c r="M11" i="44"/>
  <c r="M10" i="44"/>
  <c r="M9" i="44"/>
  <c r="M8" i="44"/>
  <c r="M7" i="44"/>
  <c r="M6" i="44"/>
  <c r="L23" i="44"/>
  <c r="L22" i="44"/>
  <c r="L21" i="44"/>
  <c r="L20" i="44"/>
  <c r="L19" i="44"/>
  <c r="L18" i="44"/>
  <c r="L17" i="44"/>
  <c r="L16" i="44"/>
  <c r="L15" i="44"/>
  <c r="L14" i="44"/>
  <c r="L13" i="44"/>
  <c r="L12" i="44"/>
  <c r="L11" i="44"/>
  <c r="L10" i="44"/>
  <c r="L9" i="44"/>
  <c r="L8" i="44"/>
  <c r="L7" i="44"/>
  <c r="L6" i="44"/>
  <c r="J23" i="44"/>
  <c r="J22" i="44"/>
  <c r="J21" i="44"/>
  <c r="J20" i="44"/>
  <c r="J19" i="44"/>
  <c r="J18" i="44"/>
  <c r="J17" i="44"/>
  <c r="J16" i="44"/>
  <c r="J15" i="44"/>
  <c r="J14" i="44"/>
  <c r="J13" i="44"/>
  <c r="J12" i="44"/>
  <c r="J11" i="44"/>
  <c r="J10" i="44"/>
  <c r="J9" i="44"/>
  <c r="J8" i="44"/>
  <c r="J7" i="44"/>
  <c r="J6" i="44"/>
  <c r="F4" i="44"/>
  <c r="F22" i="44" s="1"/>
  <c r="G22" i="44" s="1"/>
  <c r="I22" i="44" s="1"/>
  <c r="B26" i="44"/>
  <c r="G27" i="44"/>
  <c r="B30" i="44"/>
  <c r="C30" i="44" s="1"/>
  <c r="G30" i="44"/>
  <c r="E34" i="44"/>
  <c r="E40" i="44"/>
  <c r="D45" i="44"/>
  <c r="C45" i="44"/>
  <c r="B44" i="18"/>
  <c r="B23" i="18"/>
  <c r="F5" i="18"/>
  <c r="B41" i="18"/>
  <c r="F14" i="18"/>
  <c r="E5" i="35"/>
  <c r="A46" i="18"/>
  <c r="C49" i="19" s="1"/>
  <c r="A47" i="18"/>
  <c r="C50" i="19"/>
  <c r="A28" i="48"/>
  <c r="F9" i="39"/>
  <c r="F10" i="39"/>
  <c r="F11" i="39"/>
  <c r="F12" i="39"/>
  <c r="K12" i="19" s="1"/>
  <c r="F13" i="39"/>
  <c r="F14" i="39"/>
  <c r="K14" i="19" s="1"/>
  <c r="F15" i="39"/>
  <c r="F16" i="39"/>
  <c r="F17" i="39"/>
  <c r="F18" i="39"/>
  <c r="K18" i="19" s="1"/>
  <c r="F19" i="39"/>
  <c r="F20" i="39"/>
  <c r="K20" i="19" s="1"/>
  <c r="F21" i="39"/>
  <c r="H7" i="44"/>
  <c r="H30" i="44" s="1"/>
  <c r="H8" i="44"/>
  <c r="H31" i="44" s="1"/>
  <c r="H9" i="44"/>
  <c r="H32" i="44" s="1"/>
  <c r="H10" i="44"/>
  <c r="H33" i="44" s="1"/>
  <c r="H11" i="44"/>
  <c r="H34" i="44" s="1"/>
  <c r="H12" i="44"/>
  <c r="H35" i="44" s="1"/>
  <c r="H13" i="44"/>
  <c r="H36" i="44" s="1"/>
  <c r="H14" i="44"/>
  <c r="H37" i="44" s="1"/>
  <c r="H15" i="44"/>
  <c r="H38" i="44" s="1"/>
  <c r="H16" i="44"/>
  <c r="H39" i="44" s="1"/>
  <c r="H17" i="44"/>
  <c r="H40" i="44" s="1"/>
  <c r="H18" i="44"/>
  <c r="H41" i="44" s="1"/>
  <c r="H19" i="44"/>
  <c r="H42" i="44" s="1"/>
  <c r="H20" i="44"/>
  <c r="H43" i="44" s="1"/>
  <c r="H21" i="44"/>
  <c r="H44" i="44" s="1"/>
  <c r="H22" i="44"/>
  <c r="H45" i="44" s="1"/>
  <c r="F45" i="44" s="1"/>
  <c r="H23" i="44"/>
  <c r="H46" i="44" s="1"/>
  <c r="H6" i="44"/>
  <c r="H29" i="44" s="1"/>
  <c r="C5" i="25"/>
  <c r="D4" i="48"/>
  <c r="C22" i="48"/>
  <c r="C21" i="48"/>
  <c r="C20" i="48"/>
  <c r="C19" i="48"/>
  <c r="C18" i="48"/>
  <c r="C17" i="48"/>
  <c r="C16" i="48"/>
  <c r="C15" i="48"/>
  <c r="C14" i="48"/>
  <c r="C13" i="48"/>
  <c r="C12" i="48"/>
  <c r="C11" i="48"/>
  <c r="C10" i="48"/>
  <c r="C9" i="48"/>
  <c r="C8" i="48"/>
  <c r="C7" i="48"/>
  <c r="C6" i="48"/>
  <c r="C5" i="48"/>
  <c r="C3" i="48"/>
  <c r="C23" i="48"/>
  <c r="E5" i="48" s="1"/>
  <c r="D23" i="48"/>
  <c r="E15" i="48"/>
  <c r="F15" i="48" s="1"/>
  <c r="E17" i="48"/>
  <c r="F17" i="48" s="1"/>
  <c r="E20" i="48"/>
  <c r="F20" i="48" s="1"/>
  <c r="K13" i="19"/>
  <c r="K9" i="19"/>
  <c r="B6" i="25"/>
  <c r="B7" i="25"/>
  <c r="B8" i="25"/>
  <c r="B9" i="25"/>
  <c r="B10" i="25"/>
  <c r="B11" i="25"/>
  <c r="B12" i="25"/>
  <c r="B13" i="25"/>
  <c r="B14" i="25"/>
  <c r="B15" i="25"/>
  <c r="B16" i="25"/>
  <c r="B17" i="25"/>
  <c r="B18" i="25"/>
  <c r="B19" i="25"/>
  <c r="B20" i="25"/>
  <c r="B21" i="25"/>
  <c r="B22" i="25"/>
  <c r="B5" i="25"/>
  <c r="B23" i="25"/>
  <c r="D24" i="25" s="1"/>
  <c r="C7" i="33"/>
  <c r="C8" i="33"/>
  <c r="C9" i="33"/>
  <c r="C10" i="33"/>
  <c r="C11" i="33"/>
  <c r="C12" i="33"/>
  <c r="C14" i="33"/>
  <c r="C15" i="33"/>
  <c r="C16" i="33"/>
  <c r="C17" i="33"/>
  <c r="C18" i="33"/>
  <c r="C19" i="33"/>
  <c r="C21" i="33"/>
  <c r="C22" i="33"/>
  <c r="C23" i="33"/>
  <c r="D7" i="44"/>
  <c r="B8" i="44"/>
  <c r="B31" i="44" s="1"/>
  <c r="B9" i="44"/>
  <c r="C9" i="44" s="1"/>
  <c r="B10" i="44"/>
  <c r="D10" i="44" s="1"/>
  <c r="E10" i="44" s="1"/>
  <c r="B11" i="44"/>
  <c r="C11" i="44" s="1"/>
  <c r="B12" i="44"/>
  <c r="C12" i="44" s="1"/>
  <c r="B13" i="44"/>
  <c r="B36" i="44" s="1"/>
  <c r="B14" i="44"/>
  <c r="B37" i="44" s="1"/>
  <c r="B15" i="44"/>
  <c r="B38" i="44" s="1"/>
  <c r="B16" i="44"/>
  <c r="B39" i="44" s="1"/>
  <c r="B17" i="44"/>
  <c r="D17" i="44" s="1"/>
  <c r="B18" i="44"/>
  <c r="B41" i="44" s="1"/>
  <c r="B19" i="44"/>
  <c r="D19" i="44" s="1"/>
  <c r="E19" i="44" s="1"/>
  <c r="B20" i="44"/>
  <c r="C20" i="44" s="1"/>
  <c r="B21" i="44"/>
  <c r="B44" i="44" s="1"/>
  <c r="D22" i="44"/>
  <c r="B23" i="44"/>
  <c r="B46" i="44" s="1"/>
  <c r="B6" i="44"/>
  <c r="D6" i="44" s="1"/>
  <c r="E6" i="44" s="1"/>
  <c r="D6" i="16"/>
  <c r="D7" i="16"/>
  <c r="D8" i="16"/>
  <c r="D9" i="16"/>
  <c r="D10" i="16"/>
  <c r="D11" i="16"/>
  <c r="D12" i="16"/>
  <c r="D13" i="16"/>
  <c r="D14" i="16"/>
  <c r="D15" i="16"/>
  <c r="D16" i="16"/>
  <c r="D17" i="16"/>
  <c r="D18" i="16"/>
  <c r="D19" i="16"/>
  <c r="D20" i="16"/>
  <c r="D21" i="16"/>
  <c r="D22" i="16"/>
  <c r="D5" i="16"/>
  <c r="D6" i="47"/>
  <c r="D7" i="47"/>
  <c r="G7" i="47" s="1"/>
  <c r="D8" i="47"/>
  <c r="D9" i="47"/>
  <c r="D10" i="47"/>
  <c r="D11" i="47"/>
  <c r="G11" i="47" s="1"/>
  <c r="D12" i="47"/>
  <c r="D13" i="47"/>
  <c r="G13" i="47" s="1"/>
  <c r="D14" i="47"/>
  <c r="D15" i="47"/>
  <c r="D16" i="47"/>
  <c r="D17" i="47"/>
  <c r="D18" i="47"/>
  <c r="D19" i="47"/>
  <c r="D20" i="47"/>
  <c r="D21" i="47"/>
  <c r="G21" i="47" s="1"/>
  <c r="D22" i="47"/>
  <c r="D5" i="47"/>
  <c r="D23" i="47" s="1"/>
  <c r="C22" i="47"/>
  <c r="C21" i="47"/>
  <c r="C20" i="47"/>
  <c r="C19" i="47"/>
  <c r="C18" i="47"/>
  <c r="C17" i="47"/>
  <c r="C16" i="47"/>
  <c r="C15" i="47"/>
  <c r="C14" i="47"/>
  <c r="C13" i="47"/>
  <c r="C12" i="47"/>
  <c r="C11" i="47"/>
  <c r="C10" i="47"/>
  <c r="C9" i="47"/>
  <c r="C8" i="47"/>
  <c r="C7" i="47"/>
  <c r="C6" i="47"/>
  <c r="C5" i="47"/>
  <c r="C3" i="47"/>
  <c r="G7" i="44"/>
  <c r="B6" i="45"/>
  <c r="A29" i="25"/>
  <c r="A28" i="35" s="1"/>
  <c r="A15" i="38" s="1"/>
  <c r="A29" i="41" s="1"/>
  <c r="A27" i="39" s="1"/>
  <c r="A28" i="47" s="1"/>
  <c r="G47" i="19"/>
  <c r="F32" i="18"/>
  <c r="F47" i="19"/>
  <c r="E6" i="41"/>
  <c r="E7" i="41"/>
  <c r="E8" i="41"/>
  <c r="K8" i="18"/>
  <c r="K9" i="18" s="1"/>
  <c r="K7" i="18"/>
  <c r="K6" i="18"/>
  <c r="E47" i="19"/>
  <c r="D47" i="19"/>
  <c r="F15" i="18"/>
  <c r="B3" i="44"/>
  <c r="J8" i="18"/>
  <c r="J9" i="18" s="1"/>
  <c r="D6" i="35"/>
  <c r="D9" i="38"/>
  <c r="D10" i="38"/>
  <c r="J10" i="19"/>
  <c r="C4" i="33"/>
  <c r="B4" i="25"/>
  <c r="C3" i="35"/>
  <c r="D3" i="41" s="1"/>
  <c r="D22" i="41"/>
  <c r="D21" i="41"/>
  <c r="J21" i="19"/>
  <c r="D20" i="41"/>
  <c r="D19" i="41"/>
  <c r="D18" i="41"/>
  <c r="D17" i="41"/>
  <c r="J17" i="19"/>
  <c r="D16" i="41"/>
  <c r="D15" i="41"/>
  <c r="J15" i="19"/>
  <c r="D14" i="41"/>
  <c r="D13" i="41"/>
  <c r="J13" i="19"/>
  <c r="D12" i="41"/>
  <c r="J12" i="19"/>
  <c r="D11" i="41"/>
  <c r="D10" i="41"/>
  <c r="D9" i="41"/>
  <c r="J9" i="19"/>
  <c r="D8" i="41"/>
  <c r="D7" i="41"/>
  <c r="D6" i="41"/>
  <c r="D5" i="41"/>
  <c r="C7" i="35"/>
  <c r="C8" i="35"/>
  <c r="C9" i="35"/>
  <c r="C10" i="35"/>
  <c r="C11" i="35"/>
  <c r="C12" i="35"/>
  <c r="C13" i="35"/>
  <c r="C14" i="35"/>
  <c r="C15" i="35"/>
  <c r="C16" i="35"/>
  <c r="C17" i="35"/>
  <c r="C18" i="35"/>
  <c r="C19" i="35"/>
  <c r="C20" i="35"/>
  <c r="C21" i="35"/>
  <c r="C22" i="35"/>
  <c r="C6" i="35"/>
  <c r="E6" i="35"/>
  <c r="F6" i="35" s="1"/>
  <c r="H6" i="19" s="1"/>
  <c r="C5" i="35"/>
  <c r="D6" i="39"/>
  <c r="F6" i="39"/>
  <c r="K6" i="19"/>
  <c r="D7" i="39"/>
  <c r="F7" i="39"/>
  <c r="K7" i="19"/>
  <c r="D8" i="39"/>
  <c r="D9" i="39"/>
  <c r="D10" i="39"/>
  <c r="D11" i="39"/>
  <c r="D12" i="39"/>
  <c r="D13" i="39"/>
  <c r="D14" i="39"/>
  <c r="D15" i="39"/>
  <c r="D16" i="39"/>
  <c r="D17" i="39"/>
  <c r="D18" i="39"/>
  <c r="D19" i="39"/>
  <c r="D20" i="39"/>
  <c r="D21" i="39"/>
  <c r="D22" i="39"/>
  <c r="D5" i="39"/>
  <c r="H47" i="19"/>
  <c r="E17" i="44"/>
  <c r="E11" i="44"/>
  <c r="J6" i="18"/>
  <c r="J7" i="18"/>
  <c r="E6" i="16"/>
  <c r="F6" i="16" s="1"/>
  <c r="E7" i="16"/>
  <c r="F7" i="16" s="1"/>
  <c r="D7" i="19" s="1"/>
  <c r="E8" i="16"/>
  <c r="F8" i="16" s="1"/>
  <c r="D8" i="19" s="1"/>
  <c r="H5" i="16"/>
  <c r="H10" i="16"/>
  <c r="J26" i="17"/>
  <c r="C26" i="17"/>
  <c r="M25" i="17"/>
  <c r="F25" i="17"/>
  <c r="O25" i="17" s="1"/>
  <c r="M24" i="17"/>
  <c r="F24" i="17"/>
  <c r="O24" i="17" s="1"/>
  <c r="M23" i="17"/>
  <c r="F23" i="17"/>
  <c r="O23" i="17" s="1"/>
  <c r="M22" i="17"/>
  <c r="F22" i="17"/>
  <c r="O22" i="17" s="1"/>
  <c r="M21" i="17"/>
  <c r="F21" i="17"/>
  <c r="O21" i="17" s="1"/>
  <c r="M20" i="17"/>
  <c r="F20" i="17"/>
  <c r="O20" i="17" s="1"/>
  <c r="M19" i="17"/>
  <c r="F19" i="17"/>
  <c r="O19" i="17" s="1"/>
  <c r="M18" i="17"/>
  <c r="F18" i="17"/>
  <c r="O18" i="17" s="1"/>
  <c r="M17" i="17"/>
  <c r="F17" i="17"/>
  <c r="O17" i="17" s="1"/>
  <c r="M16" i="17"/>
  <c r="F16" i="17"/>
  <c r="O16" i="17" s="1"/>
  <c r="M15" i="17"/>
  <c r="F15" i="17"/>
  <c r="O15" i="17" s="1"/>
  <c r="M14" i="17"/>
  <c r="F14" i="17"/>
  <c r="O14" i="17" s="1"/>
  <c r="M13" i="17"/>
  <c r="F13" i="17"/>
  <c r="O13" i="17" s="1"/>
  <c r="M12" i="17"/>
  <c r="F12" i="17"/>
  <c r="O12" i="17" s="1"/>
  <c r="M11" i="17"/>
  <c r="F11" i="17"/>
  <c r="O11" i="17" s="1"/>
  <c r="M10" i="17"/>
  <c r="F10" i="17"/>
  <c r="O10" i="17" s="1"/>
  <c r="M9" i="17"/>
  <c r="F9" i="17"/>
  <c r="O9" i="17" s="1"/>
  <c r="M8" i="17"/>
  <c r="M26" i="17"/>
  <c r="F8" i="17"/>
  <c r="O8" i="17" s="1"/>
  <c r="O26" i="17" s="1"/>
  <c r="F26" i="17"/>
  <c r="O27" i="17" s="1"/>
  <c r="I10" i="19"/>
  <c r="I8" i="19"/>
  <c r="F12" i="19"/>
  <c r="I13" i="19"/>
  <c r="D11" i="38"/>
  <c r="I17" i="19"/>
  <c r="D12" i="38"/>
  <c r="B25" i="18"/>
  <c r="C43" i="18"/>
  <c r="D3" i="39"/>
  <c r="E9" i="41"/>
  <c r="J8" i="19"/>
  <c r="D7" i="35"/>
  <c r="E7" i="35" s="1"/>
  <c r="F7" i="35" s="1"/>
  <c r="H7" i="19" s="1"/>
  <c r="J7" i="19"/>
  <c r="E11" i="41"/>
  <c r="J11" i="19"/>
  <c r="E12" i="41"/>
  <c r="E13" i="41"/>
  <c r="E14" i="41"/>
  <c r="J14" i="19"/>
  <c r="E15" i="41"/>
  <c r="E16" i="41"/>
  <c r="J16" i="19"/>
  <c r="E17" i="41"/>
  <c r="E18" i="41"/>
  <c r="J18" i="19"/>
  <c r="E19" i="41"/>
  <c r="E20" i="41"/>
  <c r="J19" i="19"/>
  <c r="J20" i="19"/>
  <c r="E21" i="41"/>
  <c r="E22" i="41"/>
  <c r="J22" i="19"/>
  <c r="E9" i="16"/>
  <c r="J5" i="19"/>
  <c r="E10" i="16"/>
  <c r="F10" i="16" s="1"/>
  <c r="D10" i="19" s="1"/>
  <c r="E11" i="16"/>
  <c r="F11" i="16" s="1"/>
  <c r="D11" i="19" s="1"/>
  <c r="E12" i="16"/>
  <c r="F12" i="16" s="1"/>
  <c r="D12" i="19" s="1"/>
  <c r="E13" i="16"/>
  <c r="F13" i="16" s="1"/>
  <c r="D13" i="19" s="1"/>
  <c r="E14" i="16"/>
  <c r="F14" i="16" s="1"/>
  <c r="D14" i="19" s="1"/>
  <c r="E15" i="16"/>
  <c r="F15" i="16" s="1"/>
  <c r="D15" i="19" s="1"/>
  <c r="E16" i="16"/>
  <c r="F16" i="16" s="1"/>
  <c r="D16" i="19" s="1"/>
  <c r="E17" i="16"/>
  <c r="F17" i="16" s="1"/>
  <c r="D17" i="19" s="1"/>
  <c r="E18" i="16"/>
  <c r="F18" i="16" s="1"/>
  <c r="D18" i="19" s="1"/>
  <c r="E19" i="16"/>
  <c r="F19" i="16" s="1"/>
  <c r="D19" i="19" s="1"/>
  <c r="E20" i="16"/>
  <c r="F20" i="16" s="1"/>
  <c r="D20" i="19" s="1"/>
  <c r="E21" i="16"/>
  <c r="F21" i="16" s="1"/>
  <c r="D21" i="19" s="1"/>
  <c r="E22" i="16"/>
  <c r="F22" i="16" s="1"/>
  <c r="D22" i="19" s="1"/>
  <c r="J6" i="19"/>
  <c r="B29" i="18"/>
  <c r="I23" i="19"/>
  <c r="F5" i="16"/>
  <c r="D5" i="19"/>
  <c r="K10" i="19"/>
  <c r="K21" i="19"/>
  <c r="J23" i="19"/>
  <c r="D23" i="41"/>
  <c r="K16" i="19"/>
  <c r="K17" i="19"/>
  <c r="F22" i="39"/>
  <c r="K22" i="19"/>
  <c r="C23" i="47"/>
  <c r="K19" i="19"/>
  <c r="K15" i="19"/>
  <c r="K11" i="19"/>
  <c r="F8" i="39"/>
  <c r="K8" i="19"/>
  <c r="C22" i="44"/>
  <c r="C18" i="44"/>
  <c r="C23" i="35"/>
  <c r="I23" i="35"/>
  <c r="E8" i="47"/>
  <c r="E12" i="47"/>
  <c r="F12" i="47" s="1"/>
  <c r="E16" i="47"/>
  <c r="E20" i="47"/>
  <c r="F20" i="47" s="1"/>
  <c r="E6" i="47"/>
  <c r="E9" i="47"/>
  <c r="F9" i="47" s="1"/>
  <c r="E13" i="47"/>
  <c r="E17" i="47"/>
  <c r="F17" i="47" s="1"/>
  <c r="E21" i="47"/>
  <c r="E10" i="47"/>
  <c r="F10" i="47" s="1"/>
  <c r="E14" i="47"/>
  <c r="E18" i="47"/>
  <c r="F18" i="47" s="1"/>
  <c r="E22" i="47"/>
  <c r="E19" i="47"/>
  <c r="F19" i="47" s="1"/>
  <c r="E7" i="47"/>
  <c r="E5" i="47"/>
  <c r="F5" i="47" s="1"/>
  <c r="E11" i="47"/>
  <c r="E15" i="47"/>
  <c r="F15" i="47" s="1"/>
  <c r="D6" i="19"/>
  <c r="C24" i="33"/>
  <c r="D23" i="39"/>
  <c r="F9" i="16"/>
  <c r="D9" i="19"/>
  <c r="D23" i="16"/>
  <c r="H11" i="16"/>
  <c r="G10" i="47"/>
  <c r="F23" i="16"/>
  <c r="F11" i="47"/>
  <c r="G22" i="47"/>
  <c r="F22" i="47"/>
  <c r="F21" i="47"/>
  <c r="G6" i="47"/>
  <c r="F6" i="47"/>
  <c r="G8" i="47"/>
  <c r="F8" i="47"/>
  <c r="F7" i="47"/>
  <c r="F14" i="47"/>
  <c r="G14" i="47"/>
  <c r="F13" i="47"/>
  <c r="G16" i="47"/>
  <c r="F16" i="47"/>
  <c r="F5" i="35"/>
  <c r="F7" i="33"/>
  <c r="F11" i="33"/>
  <c r="F10" i="19"/>
  <c r="F17" i="33"/>
  <c r="F16" i="19"/>
  <c r="F12" i="33"/>
  <c r="F11" i="19"/>
  <c r="F9" i="33"/>
  <c r="F8" i="19"/>
  <c r="F21" i="33"/>
  <c r="F20" i="19"/>
  <c r="F10" i="33"/>
  <c r="F9" i="19"/>
  <c r="F15" i="33"/>
  <c r="F14" i="19"/>
  <c r="F8" i="33"/>
  <c r="F7" i="19"/>
  <c r="F18" i="33"/>
  <c r="F17" i="19"/>
  <c r="F23" i="33"/>
  <c r="F22" i="19"/>
  <c r="F16" i="33"/>
  <c r="F15" i="19"/>
  <c r="F19" i="33"/>
  <c r="F18" i="19"/>
  <c r="F22" i="33"/>
  <c r="F21" i="19"/>
  <c r="F14" i="33"/>
  <c r="F13" i="19"/>
  <c r="F20" i="33"/>
  <c r="F19" i="19"/>
  <c r="G19" i="47"/>
  <c r="G12" i="47"/>
  <c r="F5" i="39"/>
  <c r="E23" i="39"/>
  <c r="D23" i="19"/>
  <c r="G18" i="47"/>
  <c r="G17" i="47"/>
  <c r="G20" i="47"/>
  <c r="K5" i="19"/>
  <c r="F23" i="39"/>
  <c r="F6" i="19"/>
  <c r="F24" i="33"/>
  <c r="B5" i="18"/>
  <c r="B22" i="18"/>
  <c r="D4" i="33"/>
  <c r="D14" i="33"/>
  <c r="E14" i="33"/>
  <c r="D11" i="33"/>
  <c r="E11" i="33"/>
  <c r="D13" i="33"/>
  <c r="E13" i="33"/>
  <c r="D10" i="33"/>
  <c r="E10" i="33"/>
  <c r="D16" i="33"/>
  <c r="E16" i="33"/>
  <c r="D20" i="33"/>
  <c r="E20" i="33"/>
  <c r="D7" i="33"/>
  <c r="E7" i="33"/>
  <c r="D19" i="33"/>
  <c r="E19" i="33"/>
  <c r="D15" i="33"/>
  <c r="E15" i="33"/>
  <c r="D6" i="33"/>
  <c r="E6" i="33"/>
  <c r="D21" i="33"/>
  <c r="E21" i="33"/>
  <c r="D23" i="33"/>
  <c r="E23" i="33"/>
  <c r="D8" i="33"/>
  <c r="E8" i="33"/>
  <c r="D9" i="33"/>
  <c r="E9" i="33"/>
  <c r="D22" i="33"/>
  <c r="E22" i="33"/>
  <c r="D12" i="33"/>
  <c r="E12" i="33"/>
  <c r="D18" i="33"/>
  <c r="E18" i="33"/>
  <c r="D17" i="33"/>
  <c r="E17" i="33"/>
  <c r="E24" i="33"/>
  <c r="F5" i="19"/>
  <c r="F23" i="19"/>
  <c r="C7" i="44"/>
  <c r="C16" i="44" l="1"/>
  <c r="C23" i="44"/>
  <c r="D9" i="44"/>
  <c r="E9" i="44" s="1"/>
  <c r="D12" i="44"/>
  <c r="E12" i="44" s="1"/>
  <c r="C21" i="44"/>
  <c r="D14" i="44"/>
  <c r="E14" i="44" s="1"/>
  <c r="C6" i="44"/>
  <c r="D18" i="44"/>
  <c r="E18" i="44" s="1"/>
  <c r="D23" i="44"/>
  <c r="E23" i="44" s="1"/>
  <c r="B32" i="44"/>
  <c r="C32" i="44" s="1"/>
  <c r="C13" i="44"/>
  <c r="C14" i="44"/>
  <c r="F46" i="44"/>
  <c r="G46" i="44" s="1"/>
  <c r="O46" i="44" s="1"/>
  <c r="F38" i="44"/>
  <c r="G38" i="44" s="1"/>
  <c r="O38" i="44" s="1"/>
  <c r="B40" i="44"/>
  <c r="C40" i="44" s="1"/>
  <c r="D15" i="44"/>
  <c r="E15" i="44" s="1"/>
  <c r="C17" i="44"/>
  <c r="C10" i="44"/>
  <c r="F32" i="44"/>
  <c r="G32" i="44" s="1"/>
  <c r="O32" i="44" s="1"/>
  <c r="B42" i="44"/>
  <c r="C37" i="44"/>
  <c r="D37" i="44"/>
  <c r="E37" i="44" s="1"/>
  <c r="F37" i="44"/>
  <c r="G37" i="44" s="1"/>
  <c r="O37" i="44" s="1"/>
  <c r="C36" i="44"/>
  <c r="D36" i="44"/>
  <c r="E36" i="44" s="1"/>
  <c r="F36" i="44"/>
  <c r="G36" i="44" s="1"/>
  <c r="O36" i="44" s="1"/>
  <c r="C46" i="44"/>
  <c r="D46" i="44"/>
  <c r="E46" i="44" s="1"/>
  <c r="C41" i="44"/>
  <c r="D41" i="44"/>
  <c r="E41" i="44" s="1"/>
  <c r="F41" i="44"/>
  <c r="G41" i="44" s="1"/>
  <c r="O41" i="44" s="1"/>
  <c r="C39" i="44"/>
  <c r="D39" i="44"/>
  <c r="E39" i="44" s="1"/>
  <c r="D44" i="44"/>
  <c r="E44" i="44" s="1"/>
  <c r="C44" i="44"/>
  <c r="F44" i="44"/>
  <c r="G44" i="44" s="1"/>
  <c r="O44" i="44" s="1"/>
  <c r="D38" i="44"/>
  <c r="E38" i="44" s="1"/>
  <c r="C38" i="44"/>
  <c r="C31" i="44"/>
  <c r="D31" i="44"/>
  <c r="E31" i="44" s="1"/>
  <c r="H47" i="44"/>
  <c r="F39" i="44"/>
  <c r="G39" i="44" s="1"/>
  <c r="O39" i="44" s="1"/>
  <c r="F31" i="44"/>
  <c r="G31" i="44" s="1"/>
  <c r="O31" i="44" s="1"/>
  <c r="C15" i="44"/>
  <c r="C19" i="44"/>
  <c r="D13" i="44"/>
  <c r="E13" i="44" s="1"/>
  <c r="B43" i="44"/>
  <c r="C43" i="44" s="1"/>
  <c r="B35" i="44"/>
  <c r="B29" i="44"/>
  <c r="C29" i="44" s="1"/>
  <c r="B34" i="44"/>
  <c r="C34" i="44" s="1"/>
  <c r="D16" i="44"/>
  <c r="E16" i="44" s="1"/>
  <c r="B24" i="44"/>
  <c r="C8" i="44"/>
  <c r="D21" i="44"/>
  <c r="E21" i="44" s="1"/>
  <c r="D8" i="44"/>
  <c r="E8" i="44" s="1"/>
  <c r="B33" i="44"/>
  <c r="H24" i="44"/>
  <c r="D32" i="44"/>
  <c r="E32" i="44" s="1"/>
  <c r="O30" i="44"/>
  <c r="E6" i="19"/>
  <c r="O45" i="44"/>
  <c r="D30" i="44"/>
  <c r="F23" i="44"/>
  <c r="G4" i="44"/>
  <c r="F6" i="44"/>
  <c r="K10" i="18"/>
  <c r="L10" i="18" s="1"/>
  <c r="J10" i="18"/>
  <c r="F6" i="18" s="1"/>
  <c r="J20" i="18" s="1"/>
  <c r="D8" i="35"/>
  <c r="H5" i="19"/>
  <c r="E21" i="48"/>
  <c r="F21" i="48" s="1"/>
  <c r="E19" i="48"/>
  <c r="F19" i="48" s="1"/>
  <c r="E7" i="48"/>
  <c r="F7" i="48" s="1"/>
  <c r="E18" i="48"/>
  <c r="F18" i="48" s="1"/>
  <c r="E10" i="48"/>
  <c r="F10" i="48" s="1"/>
  <c r="E12" i="48"/>
  <c r="F12" i="48" s="1"/>
  <c r="E9" i="48"/>
  <c r="F9" i="48" s="1"/>
  <c r="E14" i="48"/>
  <c r="F14" i="48" s="1"/>
  <c r="E13" i="48"/>
  <c r="F13" i="48" s="1"/>
  <c r="E11" i="48"/>
  <c r="F11" i="48" s="1"/>
  <c r="E6" i="48"/>
  <c r="F6" i="48" s="1"/>
  <c r="E16" i="48"/>
  <c r="F16" i="48" s="1"/>
  <c r="E8" i="48"/>
  <c r="F8" i="48" s="1"/>
  <c r="E22" i="48"/>
  <c r="F22" i="48" s="1"/>
  <c r="F5" i="48"/>
  <c r="F23" i="48" s="1"/>
  <c r="F23" i="47"/>
  <c r="E23" i="47"/>
  <c r="G9" i="47"/>
  <c r="G15" i="47"/>
  <c r="G5" i="47"/>
  <c r="K23" i="19"/>
  <c r="C7" i="25"/>
  <c r="C18" i="25"/>
  <c r="C20" i="25"/>
  <c r="C10" i="25"/>
  <c r="C8" i="25"/>
  <c r="C13" i="25"/>
  <c r="C19" i="25"/>
  <c r="C17" i="25"/>
  <c r="C14" i="25"/>
  <c r="C21" i="25"/>
  <c r="D21" i="25" s="1"/>
  <c r="G21" i="19" s="1"/>
  <c r="C16" i="25"/>
  <c r="C22" i="25"/>
  <c r="C15" i="25"/>
  <c r="C9" i="25"/>
  <c r="C12" i="25"/>
  <c r="C11" i="25"/>
  <c r="C6" i="25"/>
  <c r="D6" i="25" s="1"/>
  <c r="G6" i="19" s="1"/>
  <c r="B13" i="45"/>
  <c r="O22" i="44"/>
  <c r="O7" i="44"/>
  <c r="L24" i="44" l="1"/>
  <c r="F29" i="44"/>
  <c r="E24" i="44"/>
  <c r="E5" i="44" s="1"/>
  <c r="C24" i="44"/>
  <c r="C5" i="44" s="1"/>
  <c r="D42" i="44"/>
  <c r="E42" i="44" s="1"/>
  <c r="C42" i="44"/>
  <c r="F40" i="44"/>
  <c r="G40" i="44" s="1"/>
  <c r="O40" i="44" s="1"/>
  <c r="D40" i="44"/>
  <c r="F42" i="44"/>
  <c r="G42" i="44" s="1"/>
  <c r="O42" i="44" s="1"/>
  <c r="E20" i="19"/>
  <c r="B47" i="44"/>
  <c r="C33" i="44"/>
  <c r="D33" i="44"/>
  <c r="E33" i="44" s="1"/>
  <c r="D35" i="44"/>
  <c r="E35" i="44" s="1"/>
  <c r="C35" i="44"/>
  <c r="F33" i="44"/>
  <c r="G33" i="44" s="1"/>
  <c r="O33" i="44" s="1"/>
  <c r="D24" i="44"/>
  <c r="D5" i="44" s="1"/>
  <c r="F35" i="44"/>
  <c r="G35" i="44" s="1"/>
  <c r="O35" i="44" s="1"/>
  <c r="D29" i="44"/>
  <c r="E29" i="44" s="1"/>
  <c r="E21" i="19"/>
  <c r="G29" i="44"/>
  <c r="E14" i="19"/>
  <c r="E22" i="19"/>
  <c r="E15" i="19"/>
  <c r="E17" i="19"/>
  <c r="E13" i="19"/>
  <c r="E7" i="19"/>
  <c r="E8" i="19"/>
  <c r="E12" i="19"/>
  <c r="E8" i="35"/>
  <c r="D9" i="35"/>
  <c r="E23" i="48"/>
  <c r="G23" i="47"/>
  <c r="D15" i="25"/>
  <c r="G15" i="19" s="1"/>
  <c r="F16" i="44"/>
  <c r="G16" i="44" s="1"/>
  <c r="I16" i="44" s="1"/>
  <c r="F15" i="44"/>
  <c r="G15" i="44" s="1"/>
  <c r="I15" i="44" s="1"/>
  <c r="D14" i="25"/>
  <c r="G14" i="19" s="1"/>
  <c r="D8" i="25"/>
  <c r="G8" i="19" s="1"/>
  <c r="F9" i="44"/>
  <c r="G9" i="44" s="1"/>
  <c r="I9" i="44" s="1"/>
  <c r="D7" i="25"/>
  <c r="G7" i="19" s="1"/>
  <c r="F8" i="44"/>
  <c r="G8" i="44" s="1"/>
  <c r="I8" i="44" s="1"/>
  <c r="L6" i="19"/>
  <c r="F12" i="44"/>
  <c r="G12" i="44" s="1"/>
  <c r="I12" i="44" s="1"/>
  <c r="D11" i="25"/>
  <c r="G11" i="19" s="1"/>
  <c r="D22" i="25"/>
  <c r="G22" i="19" s="1"/>
  <c r="G23" i="44"/>
  <c r="I23" i="44" s="1"/>
  <c r="D17" i="25"/>
  <c r="G17" i="19" s="1"/>
  <c r="F18" i="44"/>
  <c r="G18" i="44" s="1"/>
  <c r="I18" i="44" s="1"/>
  <c r="D10" i="25"/>
  <c r="G10" i="19" s="1"/>
  <c r="F11" i="44"/>
  <c r="F34" i="44" s="1"/>
  <c r="D12" i="25"/>
  <c r="G12" i="19" s="1"/>
  <c r="F13" i="44"/>
  <c r="G13" i="44" s="1"/>
  <c r="I13" i="44" s="1"/>
  <c r="D16" i="25"/>
  <c r="G16" i="19" s="1"/>
  <c r="F17" i="44"/>
  <c r="G17" i="44" s="1"/>
  <c r="I17" i="44" s="1"/>
  <c r="D19" i="25"/>
  <c r="G19" i="19" s="1"/>
  <c r="F20" i="44"/>
  <c r="F21" i="44"/>
  <c r="G21" i="44" s="1"/>
  <c r="I21" i="44" s="1"/>
  <c r="D20" i="25"/>
  <c r="G20" i="19" s="1"/>
  <c r="D9" i="25"/>
  <c r="G9" i="19" s="1"/>
  <c r="F10" i="44"/>
  <c r="G10" i="44" s="1"/>
  <c r="I10" i="44" s="1"/>
  <c r="D13" i="25"/>
  <c r="G13" i="19" s="1"/>
  <c r="F14" i="44"/>
  <c r="G14" i="44" s="1"/>
  <c r="I14" i="44" s="1"/>
  <c r="F19" i="44"/>
  <c r="G19" i="44" s="1"/>
  <c r="I19" i="44" s="1"/>
  <c r="D18" i="25"/>
  <c r="G18" i="19" s="1"/>
  <c r="D5" i="25"/>
  <c r="C23" i="25"/>
  <c r="E11" i="19" l="1"/>
  <c r="D47" i="44"/>
  <c r="D28" i="44" s="1"/>
  <c r="C47" i="44"/>
  <c r="C28" i="44" s="1"/>
  <c r="E16" i="19"/>
  <c r="E47" i="44"/>
  <c r="E28" i="44" s="1"/>
  <c r="E18" i="19"/>
  <c r="G20" i="44"/>
  <c r="F43" i="44"/>
  <c r="F47" i="44" s="1"/>
  <c r="F28" i="44" s="1"/>
  <c r="E9" i="19"/>
  <c r="F24" i="44"/>
  <c r="O29" i="44"/>
  <c r="E5" i="19"/>
  <c r="E9" i="35"/>
  <c r="F9" i="35" s="1"/>
  <c r="H9" i="19" s="1"/>
  <c r="D10" i="35"/>
  <c r="F8" i="35"/>
  <c r="O21" i="44"/>
  <c r="O10" i="44"/>
  <c r="O13" i="44"/>
  <c r="O15" i="44"/>
  <c r="O19" i="44"/>
  <c r="O12" i="44"/>
  <c r="O9" i="44"/>
  <c r="O16" i="44"/>
  <c r="O8" i="44"/>
  <c r="L7" i="19"/>
  <c r="O18" i="44"/>
  <c r="O14" i="44"/>
  <c r="O17" i="44"/>
  <c r="G11" i="44"/>
  <c r="O23" i="44"/>
  <c r="C25" i="25"/>
  <c r="G6" i="44"/>
  <c r="I6" i="44" s="1"/>
  <c r="G5" i="19"/>
  <c r="G23" i="19" s="1"/>
  <c r="D23" i="25"/>
  <c r="I20" i="44" l="1"/>
  <c r="I11" i="44"/>
  <c r="G43" i="44"/>
  <c r="O43" i="44" s="1"/>
  <c r="G34" i="44"/>
  <c r="G47" i="44" s="1"/>
  <c r="B20" i="18" s="1"/>
  <c r="F20" i="18" s="1"/>
  <c r="O20" i="44"/>
  <c r="O6" i="44"/>
  <c r="G24" i="44"/>
  <c r="I24" i="44" s="1"/>
  <c r="L8" i="19"/>
  <c r="H8" i="19"/>
  <c r="L9" i="19"/>
  <c r="E10" i="35"/>
  <c r="D11" i="35"/>
  <c r="O11" i="44"/>
  <c r="F5" i="44"/>
  <c r="E10" i="19" l="1"/>
  <c r="E19" i="19"/>
  <c r="O34" i="44"/>
  <c r="O47" i="44" s="1"/>
  <c r="G5" i="44"/>
  <c r="G28" i="44"/>
  <c r="O24" i="44"/>
  <c r="F10" i="35"/>
  <c r="E11" i="35"/>
  <c r="F11" i="35" s="1"/>
  <c r="H11" i="19" s="1"/>
  <c r="L11" i="19" s="1"/>
  <c r="D12" i="35"/>
  <c r="L5" i="19"/>
  <c r="E23" i="19" l="1"/>
  <c r="E12" i="35"/>
  <c r="D13" i="35"/>
  <c r="H10" i="19"/>
  <c r="M23" i="19"/>
  <c r="M25" i="19" s="1"/>
  <c r="C42" i="18"/>
  <c r="J24" i="44" l="1"/>
  <c r="L10" i="19"/>
  <c r="E13" i="35"/>
  <c r="F13" i="35" s="1"/>
  <c r="H13" i="19" s="1"/>
  <c r="L13" i="19" s="1"/>
  <c r="D14" i="35"/>
  <c r="F12" i="35"/>
  <c r="B12" i="45"/>
  <c r="B14" i="45" s="1"/>
  <c r="K32" i="18"/>
  <c r="F36" i="18"/>
  <c r="E14" i="35" l="1"/>
  <c r="F14" i="35" s="1"/>
  <c r="H14" i="19" s="1"/>
  <c r="L14" i="19" s="1"/>
  <c r="D15" i="35"/>
  <c r="H12" i="19"/>
  <c r="E15" i="35" l="1"/>
  <c r="D16" i="35"/>
  <c r="L12" i="19"/>
  <c r="E16" i="35" l="1"/>
  <c r="F16" i="35" s="1"/>
  <c r="H16" i="19" s="1"/>
  <c r="L16" i="19" s="1"/>
  <c r="D17" i="35"/>
  <c r="F15" i="35"/>
  <c r="H15" i="19" l="1"/>
  <c r="L15" i="19" s="1"/>
  <c r="E17" i="35"/>
  <c r="F17" i="35" s="1"/>
  <c r="H17" i="19" s="1"/>
  <c r="L17" i="19" s="1"/>
  <c r="D18" i="35"/>
  <c r="E18" i="35" l="1"/>
  <c r="F18" i="35" s="1"/>
  <c r="H18" i="19" s="1"/>
  <c r="L18" i="19" s="1"/>
  <c r="D19" i="35"/>
  <c r="E19" i="35" l="1"/>
  <c r="F19" i="35" s="1"/>
  <c r="H19" i="19" s="1"/>
  <c r="L19" i="19" s="1"/>
  <c r="D20" i="35"/>
  <c r="E20" i="35" l="1"/>
  <c r="F20" i="35" s="1"/>
  <c r="H20" i="19" s="1"/>
  <c r="L20" i="19" s="1"/>
  <c r="M20" i="19" s="1"/>
  <c r="D21" i="35"/>
  <c r="E21" i="35" l="1"/>
  <c r="F21" i="35" s="1"/>
  <c r="H21" i="19" s="1"/>
  <c r="L21" i="19" s="1"/>
  <c r="D22" i="35"/>
  <c r="E22" i="35" s="1"/>
  <c r="F22" i="35" l="1"/>
  <c r="E23" i="35"/>
  <c r="H22" i="19" l="1"/>
  <c r="F23" i="35"/>
  <c r="B24" i="18" s="1"/>
  <c r="C36" i="18" l="1"/>
  <c r="B36" i="18"/>
  <c r="C44" i="18" s="1"/>
  <c r="L22" i="19"/>
  <c r="L23" i="19" s="1"/>
  <c r="H23" i="19"/>
  <c r="L24" i="19" s="1"/>
  <c r="B38" i="18" l="1"/>
  <c r="B8" i="45"/>
  <c r="B9" i="45" s="1"/>
  <c r="B16" i="45" s="1"/>
  <c r="C4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Hana Němcová</author>
  </authors>
  <commentList>
    <comment ref="F6" authorId="0" shapeId="0" xr:uid="{74537897-79C0-4FA3-89A6-542501D96C09}">
      <text>
        <r>
          <rPr>
            <b/>
            <sz val="9"/>
            <color indexed="81"/>
            <rFont val="Tahoma"/>
            <family val="2"/>
            <charset val="238"/>
          </rPr>
          <t>Hana Němcová:</t>
        </r>
        <r>
          <rPr>
            <sz val="9"/>
            <color indexed="81"/>
            <rFont val="Tahoma"/>
            <family val="2"/>
            <charset val="238"/>
          </rPr>
          <t xml:space="preserve">
Mzda Němcová, Rožková, Randáková (projekt na kancelář jen do 9_23)
</t>
        </r>
      </text>
    </comment>
    <comment ref="F14" authorId="0" shapeId="0" xr:uid="{00000000-0006-0000-0200-000001000000}">
      <text>
        <r>
          <rPr>
            <b/>
            <sz val="9"/>
            <color indexed="81"/>
            <rFont val="Tahoma"/>
            <family val="2"/>
            <charset val="238"/>
          </rPr>
          <t>Hana Němcová:</t>
        </r>
        <r>
          <rPr>
            <sz val="9"/>
            <color indexed="81"/>
            <rFont val="Tahoma"/>
            <family val="2"/>
            <charset val="238"/>
          </rPr>
          <t xml:space="preserve">
nutnost navýšení smlouvy na účetnictví - Gordic přestává podporovat moduly
</t>
        </r>
      </text>
    </comment>
    <comment ref="F15" authorId="0" shapeId="0" xr:uid="{00000000-0006-0000-0200-000002000000}">
      <text>
        <r>
          <rPr>
            <b/>
            <sz val="9"/>
            <color indexed="81"/>
            <rFont val="Tahoma"/>
            <family val="2"/>
            <charset val="238"/>
          </rPr>
          <t>Hana Němcová:</t>
        </r>
        <r>
          <rPr>
            <sz val="9"/>
            <color indexed="81"/>
            <rFont val="Tahoma"/>
            <family val="2"/>
            <charset val="238"/>
          </rPr>
          <t xml:space="preserve">
LIS 786,- * 12
</t>
        </r>
      </text>
    </comment>
    <comment ref="F20" authorId="0" shapeId="0" xr:uid="{00000000-0006-0000-0200-000003000000}">
      <text>
        <r>
          <rPr>
            <b/>
            <sz val="9"/>
            <color indexed="81"/>
            <rFont val="Tahoma"/>
            <family val="2"/>
            <charset val="238"/>
          </rPr>
          <t>Hana Němcová:</t>
        </r>
        <r>
          <rPr>
            <sz val="9"/>
            <color indexed="81"/>
            <rFont val="Tahoma"/>
            <family val="2"/>
            <charset val="238"/>
          </rPr>
          <t xml:space="preserve">
částka do návrhu rozpočtu bude navýšena o rozdíl z r. 2021
</t>
        </r>
      </text>
    </comment>
    <comment ref="F21" authorId="0" shapeId="0" xr:uid="{00000000-0006-0000-0200-000004000000}">
      <text>
        <r>
          <rPr>
            <b/>
            <sz val="9"/>
            <color indexed="81"/>
            <rFont val="Tahoma"/>
            <family val="2"/>
            <charset val="238"/>
          </rPr>
          <t>Hana Němcová:</t>
        </r>
        <r>
          <rPr>
            <sz val="9"/>
            <color indexed="81"/>
            <rFont val="Tahoma"/>
            <family val="2"/>
            <charset val="238"/>
          </rPr>
          <t xml:space="preserve">
V návrhu rozpočtu sem budou přesunuty mzdové výdaje projektu, které jsou součástí částky 210.800,- Kč
</t>
        </r>
      </text>
    </comment>
    <comment ref="F25" authorId="0" shapeId="0" xr:uid="{00000000-0006-0000-0200-000005000000}">
      <text>
        <r>
          <rPr>
            <b/>
            <sz val="9"/>
            <color indexed="81"/>
            <rFont val="Tahoma"/>
            <family val="2"/>
            <charset val="238"/>
          </rPr>
          <t>Hana Němcová:</t>
        </r>
        <r>
          <rPr>
            <sz val="9"/>
            <color indexed="81"/>
            <rFont val="Tahoma"/>
            <family val="2"/>
            <charset val="238"/>
          </rPr>
          <t xml:space="preserve">
1240 tis. Kč DUR
20 tis. Kč administrace Compet Consult
2082 tis. Kč DSP
bude převedeno do únorového návrhu rozpočtu z r. 2022</t>
        </r>
      </text>
    </comment>
    <comment ref="F26" authorId="0" shapeId="0" xr:uid="{613F5519-E54E-48A0-A69A-4DF21491CFB6}">
      <text>
        <r>
          <rPr>
            <b/>
            <sz val="9"/>
            <color indexed="81"/>
            <rFont val="Tahoma"/>
            <family val="2"/>
            <charset val="238"/>
          </rPr>
          <t>Hana Němcová:
bude převedeno do únorového návrhu rozpočtu z r. 2022</t>
        </r>
        <r>
          <rPr>
            <sz val="9"/>
            <color indexed="81"/>
            <rFont val="Tahoma"/>
            <family val="2"/>
            <charset val="238"/>
          </rPr>
          <t xml:space="preserve">
</t>
        </r>
      </text>
    </comment>
    <comment ref="F27" authorId="0" shapeId="0" xr:uid="{6291BF99-FFCB-4F6B-BB1B-54C42D43C466}">
      <text>
        <r>
          <rPr>
            <b/>
            <sz val="9"/>
            <color indexed="81"/>
            <rFont val="Tahoma"/>
            <family val="2"/>
            <charset val="238"/>
          </rPr>
          <t>Hana Němcová:
bude převedeno do únorového návrhu rozpočtu z r. 2022</t>
        </r>
        <r>
          <rPr>
            <sz val="9"/>
            <color indexed="81"/>
            <rFont val="Tahoma"/>
            <family val="2"/>
            <charset val="238"/>
          </rPr>
          <t xml:space="preserve">
</t>
        </r>
      </text>
    </comment>
    <comment ref="E29" authorId="0" shapeId="0" xr:uid="{00000000-0006-0000-0200-000006000000}">
      <text>
        <r>
          <rPr>
            <b/>
            <sz val="9"/>
            <color indexed="81"/>
            <rFont val="Tahoma"/>
            <family val="2"/>
            <charset val="238"/>
          </rPr>
          <t>Hana Němcová:</t>
        </r>
        <r>
          <rPr>
            <sz val="9"/>
            <color indexed="81"/>
            <rFont val="Tahoma"/>
            <family val="2"/>
            <charset val="238"/>
          </rPr>
          <t xml:space="preserve">
Především mzdové prostředky na koordinátora komunitního plánování (max. 10% provozní výdaje), dotace přijde v r. 2022 na rok 22 a 23
</t>
        </r>
      </text>
    </comment>
    <comment ref="E30" authorId="0" shapeId="0" xr:uid="{49C01FDE-D895-4E44-A503-3C79015604D6}">
      <text>
        <r>
          <rPr>
            <b/>
            <sz val="9"/>
            <color indexed="81"/>
            <rFont val="Tahoma"/>
            <family val="2"/>
            <charset val="238"/>
          </rPr>
          <t>Hana Němcová:</t>
        </r>
        <r>
          <rPr>
            <sz val="9"/>
            <color indexed="81"/>
            <rFont val="Tahoma"/>
            <family val="2"/>
            <charset val="238"/>
          </rPr>
          <t xml:space="preserve">
dotace z LK 49% 242.551,-
podíl obcí 51% k dotaci LK 252.453,-
+ od zapojených obcí nad rámec dotace 293.265,-
celkové výdaje 788.269,- Kč
financování je součástí rozpočtu r. 2022</t>
        </r>
      </text>
    </comment>
    <comment ref="F30" authorId="0" shapeId="0" xr:uid="{7613C4FD-EB3E-4B27-A58F-A28F7523C57A}">
      <text>
        <r>
          <rPr>
            <b/>
            <sz val="9"/>
            <color indexed="81"/>
            <rFont val="Tahoma"/>
            <family val="2"/>
            <charset val="238"/>
          </rPr>
          <t>Hana Němcová:</t>
        </r>
        <r>
          <rPr>
            <sz val="9"/>
            <color indexed="81"/>
            <rFont val="Tahoma"/>
            <family val="2"/>
            <charset val="238"/>
          </rPr>
          <t xml:space="preserve">
bude převedeno do únorového návrhu rozpočtu z r. 2022</t>
        </r>
      </text>
    </comment>
    <comment ref="B32" authorId="0" shapeId="0" xr:uid="{E7349F25-3DC6-45C8-B219-E66103148F36}">
      <text>
        <r>
          <rPr>
            <b/>
            <sz val="9"/>
            <color indexed="81"/>
            <rFont val="Tahoma"/>
            <family val="2"/>
            <charset val="238"/>
          </rPr>
          <t>Hana Němcová:</t>
        </r>
        <r>
          <rPr>
            <sz val="9"/>
            <color indexed="81"/>
            <rFont val="Tahoma"/>
            <family val="2"/>
            <charset val="238"/>
          </rPr>
          <t xml:space="preserve">
předpokládáme dvě výpůjčky</t>
        </r>
      </text>
    </comment>
    <comment ref="F32" authorId="0" shapeId="0" xr:uid="{00000000-0006-0000-0200-000007000000}">
      <text>
        <r>
          <rPr>
            <b/>
            <sz val="9"/>
            <color indexed="81"/>
            <rFont val="Tahoma"/>
            <family val="2"/>
            <charset val="238"/>
          </rPr>
          <t>Hana Němcová:</t>
        </r>
        <r>
          <rPr>
            <sz val="9"/>
            <color indexed="81"/>
            <rFont val="Tahoma"/>
            <family val="2"/>
            <charset val="238"/>
          </rPr>
          <t xml:space="preserve">
24.519,- pojištění
13.000,- správa
20.000,- ostatní a údržba
</t>
        </r>
      </text>
    </comment>
  </commentList>
</comments>
</file>

<file path=xl/sharedStrings.xml><?xml version="1.0" encoding="utf-8"?>
<sst xmlns="http://schemas.openxmlformats.org/spreadsheetml/2006/main" count="545" uniqueCount="223">
  <si>
    <t>HEŘMANIČKA - PD??? KONEC 2022???</t>
  </si>
  <si>
    <t>Heřmanička  - pozemek nádraží - domlouvá se dotace na LK - realizace 2022</t>
  </si>
  <si>
    <t>oddělení protidrogovky od dotačního programu</t>
  </si>
  <si>
    <t>komunitní plánování - příspěvek obcí v roce 2021 - na roky 2022 a 23 - žádost o dotaci na LK</t>
  </si>
  <si>
    <t>NÁVRH ROZPOČTU NA ROK 2023</t>
  </si>
  <si>
    <t>PŘÍJMY:</t>
  </si>
  <si>
    <t>NÁVRH ROZPOČTU</t>
  </si>
  <si>
    <t>1. daňové</t>
  </si>
  <si>
    <t xml:space="preserve"> -   Kč </t>
  </si>
  <si>
    <t>2. nedaňové</t>
  </si>
  <si>
    <t>3. kapitálové</t>
  </si>
  <si>
    <t>4. přijaté transfery</t>
  </si>
  <si>
    <t xml:space="preserve">CELKEM </t>
  </si>
  <si>
    <t>VÝDAJE:</t>
  </si>
  <si>
    <t>5. bežné</t>
  </si>
  <si>
    <t>6. kapitálové</t>
  </si>
  <si>
    <t>CELKEM</t>
  </si>
  <si>
    <t>8. financování</t>
  </si>
  <si>
    <t>Při sestavování návrhu rozpočtu proběhla předběžná řídící finanční kontrola.</t>
  </si>
  <si>
    <t>Rozpočtové provizorium na rok 2023 schváleno dne ….............usnesením č. …........./2022</t>
  </si>
  <si>
    <t>Rozpočet na r. 2023 byl schválen dne ….................. usnesením č. …..../202X</t>
  </si>
  <si>
    <t>Příloha návrhu rozpočtu na rok 2023 - rozpis rozpočtu</t>
  </si>
  <si>
    <t>Příjmy</t>
  </si>
  <si>
    <t>účet/par./pol./org.</t>
  </si>
  <si>
    <t>Výdaje</t>
  </si>
  <si>
    <r>
      <t xml:space="preserve">BP- čl. příspěvek 11,- /ob. - </t>
    </r>
    <r>
      <rPr>
        <b/>
        <sz val="8"/>
        <rFont val="Arial"/>
        <family val="2"/>
        <charset val="238"/>
      </rPr>
      <t>viz tabulka č.1</t>
    </r>
  </si>
  <si>
    <t>231 0000/4121/org.</t>
  </si>
  <si>
    <t>BV - běžné výdaje DSO</t>
  </si>
  <si>
    <t xml:space="preserve"> 1-12/2021</t>
  </si>
  <si>
    <t>Mzdy - účetnictví,agenda (vč. podílu DSO na projektu LK)</t>
  </si>
  <si>
    <t>231 0000/6409/50xx</t>
  </si>
  <si>
    <t>Němcová</t>
  </si>
  <si>
    <t>Poštovné</t>
  </si>
  <si>
    <t>231 0000/6409/5161</t>
  </si>
  <si>
    <t xml:space="preserve">Rožková </t>
  </si>
  <si>
    <t>Spotřební materiál</t>
  </si>
  <si>
    <t>231 0000/6409/5139</t>
  </si>
  <si>
    <t>Randáková</t>
  </si>
  <si>
    <t xml:space="preserve">Správní poplatky </t>
  </si>
  <si>
    <t>231 0000/6409/5362</t>
  </si>
  <si>
    <t>odvody Randáková</t>
  </si>
  <si>
    <t>Dary- upomínkové předměty</t>
  </si>
  <si>
    <t>231 0000/6409/5164</t>
  </si>
  <si>
    <t xml:space="preserve">Školení </t>
  </si>
  <si>
    <t>231 0000/6409/5167</t>
  </si>
  <si>
    <t>Cestovné</t>
  </si>
  <si>
    <t>231 0000/6409/5173</t>
  </si>
  <si>
    <t>Nákup knih</t>
  </si>
  <si>
    <t>231 0000/6409/5136</t>
  </si>
  <si>
    <t>Služby Gordic (roční podpora dle smlouvy + případný servis)</t>
  </si>
  <si>
    <t>231 0000/6409/5168</t>
  </si>
  <si>
    <t xml:space="preserve">Služby-certifikát pošta, smlouva LIS a.s., </t>
  </si>
  <si>
    <t>231 0000/6409/5169</t>
  </si>
  <si>
    <t>Pohoštění</t>
  </si>
  <si>
    <t>231 0000/6409/5175</t>
  </si>
  <si>
    <t>Bankovní poplatky - KB, ČNB</t>
  </si>
  <si>
    <t>231 0000/6310/5163</t>
  </si>
  <si>
    <t>Ostatní činnosti související se službami pro obyvatelstvo</t>
  </si>
  <si>
    <t>231 0000/3900/5169</t>
  </si>
  <si>
    <t>Ostatní činnosti transfery/dotace spolkům</t>
  </si>
  <si>
    <t>231 0000/3900/5222</t>
  </si>
  <si>
    <r>
      <t xml:space="preserve">Dotační program - sociální služby </t>
    </r>
    <r>
      <rPr>
        <b/>
        <sz val="8"/>
        <rFont val="Arial"/>
        <family val="2"/>
        <charset val="238"/>
      </rPr>
      <t xml:space="preserve"> - viz tabulka č.2</t>
    </r>
  </si>
  <si>
    <t>Dotační program - sociální služby</t>
  </si>
  <si>
    <t>231 0000/43xx/52xx</t>
  </si>
  <si>
    <t>projekt z LK - Poradenství pro rozvoj Frýdlantska (doplatek dotace ve výši 10%)</t>
  </si>
  <si>
    <t>231 0000/4122/</t>
  </si>
  <si>
    <t>projekt z LK - Poradenství pro rozvoj Frýdlantska (podíl DSO 30%+ z dotace LK 70%)  záloha součástí PS účtu</t>
  </si>
  <si>
    <t>231 0000/6409/5xxx/</t>
  </si>
  <si>
    <t>**</t>
  </si>
  <si>
    <r>
      <t>čl. příspěvek  OSA smlouva 1,92/ob</t>
    </r>
    <r>
      <rPr>
        <sz val="8"/>
        <rFont val="Arial"/>
        <family val="2"/>
        <charset val="238"/>
      </rPr>
      <t xml:space="preserve"> tabulka č. 3</t>
    </r>
  </si>
  <si>
    <t>Polatky OSA - smlouva- rozhlasy 1,92/ob</t>
  </si>
  <si>
    <t>231 0000/6409/5041</t>
  </si>
  <si>
    <t>čl. příspěvek protidrogová prevence tabulka č. 4</t>
  </si>
  <si>
    <t xml:space="preserve"> Dotace na protidrogovou prevenci</t>
  </si>
  <si>
    <t>231 0000/6409/5163</t>
  </si>
  <si>
    <t>Středisko výchovné péče - viz. tabulka č. 5</t>
  </si>
  <si>
    <t xml:space="preserve"> Středisko výchovné péče </t>
  </si>
  <si>
    <t>231 0000/3148/5339</t>
  </si>
  <si>
    <t>Heřmanička (Frýdlant+Kunratice+Dětřichov+Heřmanice) -viz tabulka č. 6</t>
  </si>
  <si>
    <t>Heřmanička - 20% DUR + inženýrská činnost (vč. dotace z LK cca 50% 140.200,- Kč)</t>
  </si>
  <si>
    <t>231 0000/2219/6121</t>
  </si>
  <si>
    <t>Heřmanička - DSP + inženýrská činnost (vč. dotace z LK cca 50% 800.000,- Kč)</t>
  </si>
  <si>
    <t xml:space="preserve">Heřmanička - administrace </t>
  </si>
  <si>
    <t>komunitní plánování - viz tabulka č. 7 (předfinancováno v r. 2021</t>
  </si>
  <si>
    <t>komunitní plánování  (podíl DSO 50% uzn.výdajů, 50% dotace)</t>
  </si>
  <si>
    <t xml:space="preserve">231 0000/4349/5xxx </t>
  </si>
  <si>
    <t>*</t>
  </si>
  <si>
    <t>mamžer odpadů - z Programu obnovy venkova (dotace z LK v r. 2022)</t>
  </si>
  <si>
    <t>optimalizace odpadového hospodářství - dotace z LK 49% + 51% z vlastních zdrojů (jen zapojené obce) - financování z r. 2022</t>
  </si>
  <si>
    <t>příjmy z pódia (pronájem)</t>
  </si>
  <si>
    <t>231 0000/3319/2111</t>
  </si>
  <si>
    <t xml:space="preserve">pojistka pódium + údržba </t>
  </si>
  <si>
    <t>231 000/3319/5xxx</t>
  </si>
  <si>
    <t>* - výdaje financované z příjmů r. 2018</t>
  </si>
  <si>
    <t>** - výdaje rozpočtované v r. 2018 - součástí projektu</t>
  </si>
  <si>
    <t>Příjmy celkem</t>
  </si>
  <si>
    <t>výdaje celkem</t>
  </si>
  <si>
    <t>Přebytek +/- schodek rozpočtu 2023</t>
  </si>
  <si>
    <t>stav k 1.1.2023</t>
  </si>
  <si>
    <t>předpoklad k 31.12.2023</t>
  </si>
  <si>
    <t xml:space="preserve">stav prosředků na BÚ </t>
  </si>
  <si>
    <t>stav prosředků na BÚ - sociální služby</t>
  </si>
  <si>
    <t xml:space="preserve">stav prostředků na  BÚ "Heřmanička"  </t>
  </si>
  <si>
    <t xml:space="preserve">celkem </t>
  </si>
  <si>
    <t>Přehled všech navrhovaných příspěvků pro DSO na rok 2023</t>
  </si>
  <si>
    <t>org.</t>
  </si>
  <si>
    <t>Město/Obec</t>
  </si>
  <si>
    <r>
      <t xml:space="preserve">Členský příspěvek  </t>
    </r>
    <r>
      <rPr>
        <b/>
        <sz val="9"/>
        <color indexed="10"/>
        <rFont val="Arial"/>
        <family val="2"/>
        <charset val="238"/>
      </rPr>
      <t>11,- Kč</t>
    </r>
    <r>
      <rPr>
        <b/>
        <sz val="9"/>
        <rFont val="Arial"/>
        <family val="2"/>
        <charset val="238"/>
      </rPr>
      <t xml:space="preserve"> viz tabulka č.1</t>
    </r>
  </si>
  <si>
    <t>Příspěvek na společné financování soc.služeb         tabulka č.2</t>
  </si>
  <si>
    <t>Členský příspěvek poplatek OSA           tabulka č. 3</t>
  </si>
  <si>
    <t>Protidrogová prevence viz tabulka č. 4</t>
  </si>
  <si>
    <t>Středisko výchovné péče                     tabulka č.5</t>
  </si>
  <si>
    <t>Projekt  Heřmanička ( Frýdlant + Dětřichov + Kunratice + Heřmanice) tabulka č.6</t>
  </si>
  <si>
    <t>Komunitní plánování a pracovník koordinace dotačního programu na podporu soc. služeb   č. 7</t>
  </si>
  <si>
    <t>pořízení kontejnerů - poue přihlášené obce - pouze za podmínky schválení dotace  tabulka č. 8</t>
  </si>
  <si>
    <t>Příspěvky na rok 2022 celkem</t>
  </si>
  <si>
    <t>Bílý Potok</t>
  </si>
  <si>
    <t>Bulovka</t>
  </si>
  <si>
    <t>Černousy</t>
  </si>
  <si>
    <t>Dětřichov</t>
  </si>
  <si>
    <t>Dolní Řasnice</t>
  </si>
  <si>
    <t>Frýdlant</t>
  </si>
  <si>
    <t>Habartice</t>
  </si>
  <si>
    <t>Hejnice</t>
  </si>
  <si>
    <t>Heřmanice</t>
  </si>
  <si>
    <t>Horní Řasnice</t>
  </si>
  <si>
    <t>Jindřichovice pod Smrkem</t>
  </si>
  <si>
    <t>Krásný Les</t>
  </si>
  <si>
    <t>Kunratice</t>
  </si>
  <si>
    <t>Lázně Libverda</t>
  </si>
  <si>
    <t>Nové Město pod Smrkem</t>
  </si>
  <si>
    <t>Pertoltice</t>
  </si>
  <si>
    <t>Raspenava***</t>
  </si>
  <si>
    <t>Višňová</t>
  </si>
  <si>
    <t xml:space="preserve">Tabulka č. 2 a č. 4 - odpovídají v kumulaci částce 68,- Kč na obyvatele, Raspenava - zvažuje příspěvek do soc. měšce (cca +184 tis. Kč) a Bulovka je navržena jen ve výši protidrogové prevence </t>
  </si>
  <si>
    <t>*Počet obyvatel k 1.1. 2018 dle EO MěÚ Frýdlant / od 2019 ČSÚ</t>
  </si>
  <si>
    <t>rozpočet na r.:</t>
  </si>
  <si>
    <t>Raspenava</t>
  </si>
  <si>
    <t>Základní členský příspěvek</t>
  </si>
  <si>
    <t>Tabulka č. 1</t>
  </si>
  <si>
    <t>počet obyvatel k 1. 1. 2022 dle MF</t>
  </si>
  <si>
    <t>podíl Kč</t>
  </si>
  <si>
    <t>příspěvek</t>
  </si>
  <si>
    <t>Hana Němcová / Anna Randáková</t>
  </si>
  <si>
    <t>tvorba rozpočtu  2019  DSO Mikroregion Frýdlantsko</t>
  </si>
  <si>
    <t>Příjmy 2019:</t>
  </si>
  <si>
    <t>Tabulka č. 2</t>
  </si>
  <si>
    <t>Příspěvek pro " ADVAITA z.s." (doručena žádost ve výši 98.000,- Kč na soc.poradenství, terapeutickou komunitu v Nové Vsi a následnou péče s doléčovacím programem)</t>
  </si>
  <si>
    <r>
      <rPr>
        <b/>
        <sz val="10"/>
        <rFont val="Arial"/>
        <family val="2"/>
        <charset val="238"/>
      </rPr>
      <t>Příspěvek pro " Most k naději z.s." (</t>
    </r>
    <r>
      <rPr>
        <sz val="10"/>
        <rFont val="Arial"/>
        <family val="2"/>
        <charset val="238"/>
      </rPr>
      <t>doručena žádost o dotaci ve výši 100.000,- Kč - na terén.program pro uživatelel drog + projekt sociální prevence 50.000,- Kč</t>
    </r>
  </si>
  <si>
    <t>počet obyvatel k 1.1.2018 dle EO Frýdlant</t>
  </si>
  <si>
    <t>ADVAITA z.s.dle roku 2018</t>
  </si>
  <si>
    <t xml:space="preserve"> dorovnání příspěvku do výše vyrovnávací platby 95.863,60</t>
  </si>
  <si>
    <t>předpokládaný příspěvek celkem rok 2019</t>
  </si>
  <si>
    <t>Most k naději z.s. dle roku 2018</t>
  </si>
  <si>
    <t xml:space="preserve"> dorovnání příspěvku do výše vyrovnávací platby 87.361,00</t>
  </si>
  <si>
    <t>Celkem protidrogová činnost na rok 2019 (za oba poskytovatele)</t>
  </si>
  <si>
    <t xml:space="preserve">* Příspěvek na protidrogovou činnost ( Advaita ) na rok 2019 dle modelu z roku 2018 + dorovnání příspěvku do výše vyrovnávací platby  </t>
  </si>
  <si>
    <t xml:space="preserve">* Příspěvek na protidrogovou činnost (  Most k naději) na rok 2019 dle modelu z roku 2018 + dorovnání příspěvku do výše vyrovnávací platby  </t>
  </si>
  <si>
    <t>Sestavila  14.11.2018 J. Rožková</t>
  </si>
  <si>
    <t>Členský příspěvek na společné financování sociálních služeb (dotační program) - 68 Kč</t>
  </si>
  <si>
    <t>Název obce</t>
  </si>
  <si>
    <t>Celková částka za obec (97,3 Kč/osoba)</t>
  </si>
  <si>
    <t>Celková částka za obec, Frýdlant a NMPS pevně stanovené částky (67,6 Kč/osoba)</t>
  </si>
  <si>
    <t>Celková částka na obec (zapojení Bul, Rasp jen na protidrogovou prevenci) / na obyvatele 67,6</t>
  </si>
  <si>
    <t>Celková částka na obec bez zapojení Bul, Rasp (na obyvatele 68,-) po zaokrouhlení + navýšení o 180 tis. na novou službu SAS</t>
  </si>
  <si>
    <t>Celková částka na obec bez zapojení Bulovky (na obyvatele 68,-) po zaokrouhlení</t>
  </si>
  <si>
    <t>protidrogová prevence2022</t>
  </si>
  <si>
    <t>cena na obyvatele:</t>
  </si>
  <si>
    <t>průměrná cena na           1 obyvatele</t>
  </si>
  <si>
    <t>příspěvem na financování soc.služeb celkem</t>
  </si>
  <si>
    <t>Celkem</t>
  </si>
  <si>
    <t>Celková částka na obec bez zapojení Bul, Rasp (na obyvatele 68,-) po zaokrouhlení</t>
  </si>
  <si>
    <t>průměrná cena na 1 obyvatele</t>
  </si>
  <si>
    <t>přeúčtování na 231/0099 (celkový příspěvek na soc.služby)</t>
  </si>
  <si>
    <t>Příspěvek na poplatek OSA</t>
  </si>
  <si>
    <t>polatek OSA na obyvatele je vč. DPH 1,92 Kč - jako v předešlých letech</t>
  </si>
  <si>
    <t>Tabulka č.3</t>
  </si>
  <si>
    <t>příspěvek 2,33 Kč na obyvatele</t>
  </si>
  <si>
    <t>Mají s OSA samostatnou smlouvu</t>
  </si>
  <si>
    <t>majetek (rozhlasy) - k 1.12.2021 byly rozhlasy převedeny do vlastnictví jednotlivých obcí</t>
  </si>
  <si>
    <t>Platba OSA přes DSO - výhodnější cena než každá obec jednotlivě</t>
  </si>
  <si>
    <t>Členský příspěvek na protidrogovou prevenci r. 2023</t>
  </si>
  <si>
    <t>Tabulka č. 4</t>
  </si>
  <si>
    <t>obec</t>
  </si>
  <si>
    <t>příspěvek dle počtu obyvatel</t>
  </si>
  <si>
    <t>NA OBYVATELE</t>
  </si>
  <si>
    <t>v roce 2022 nečerpal Most k naději - úspora cca 70 tis.</t>
  </si>
  <si>
    <t>Příspěvek pro " Středisko výchovné péče"</t>
  </si>
  <si>
    <t>Tabulka č. 5</t>
  </si>
  <si>
    <t>příspěvek 9,50Kč na obyvatele</t>
  </si>
  <si>
    <t>Příspěvek - Středisko výchovné péče ve výši 230.000,- Kč (zatím nepožádali o dotaci, částka je ve stejné výši jako v r. 2021)</t>
  </si>
  <si>
    <t>členský příspěvek pro obce zapojené v projektu - Heřmanička</t>
  </si>
  <si>
    <t>Tabulka č. 6</t>
  </si>
  <si>
    <t>Zrušená trať - Heřmanička ( obce Frýdlant, Kunratice, Dětřichov, Heřmanice)</t>
  </si>
  <si>
    <t xml:space="preserve">dle tabulky od A. Randákové </t>
  </si>
  <si>
    <t>1/4 podíl</t>
  </si>
  <si>
    <t>celkem</t>
  </si>
  <si>
    <t>Příspěvek na výdaje komunitního plánování (2022-23) - financování mimořádným příspěvkem v r. 2021</t>
  </si>
  <si>
    <t>Tabulka č. 7</t>
  </si>
  <si>
    <t>Příspěvek na jednoho obyvatele</t>
  </si>
  <si>
    <t>Dle kalkulace zajištění koordinátora komunitního plánování a dotačního programu na podporu sociálních služeb.</t>
  </si>
  <si>
    <t>Financování r. 2022,23 bylo předfinancováno v r. 2021</t>
  </si>
  <si>
    <t>pořízení kontejnerů do obcí - pouze dofinancování k dotaci z LK</t>
  </si>
  <si>
    <t>Tabulka č. 8</t>
  </si>
  <si>
    <t>cena dodávky dle veřejné zakázky</t>
  </si>
  <si>
    <t>výše příspěvku</t>
  </si>
  <si>
    <r>
      <t xml:space="preserve">Příspěvek na "odpadového manažera" - </t>
    </r>
    <r>
      <rPr>
        <b/>
        <sz val="10"/>
        <color indexed="10"/>
        <rFont val="Arial"/>
        <family val="2"/>
        <charset val="238"/>
      </rPr>
      <t>předpoklad financivání z oříspěvku vybraného v roce 2022</t>
    </r>
  </si>
  <si>
    <t>Tabulka č. 9</t>
  </si>
  <si>
    <t>50% paušál</t>
  </si>
  <si>
    <t>50% podíl dle počtu obyvatel</t>
  </si>
  <si>
    <t>Hana Němcová/Anna Randáková</t>
  </si>
  <si>
    <t xml:space="preserve">Důvodová zpráva:
V roce 2021 byla na Mikroregionupořízena studie odpadového hospodářství. Bylo zjištěno, že dostupná data v region nejsou dostatečně validní, aby se na jejich základě dalsestavit další návrh postupu. Proto studie navrhuje zřídit pozici odpadového manažera, který by 
A) zajistil validní data za jednotlivé obce pro další plánování odpadového hospodářství v ORP (je potřeba narovnat vykazování dat v ISOH a EKOKOM, či rozpočítávání svozu mezi obce, či evidenci odpadů za podnikatele), může přispět k zvýšení příjmů obcí od ekokomu
B) navrhl kroky vedoucí k optimalizaci systému odpadového hospodářství (OH v Mikroregionu) – v případě že se nepodaří vyjednat příznivé podmínky se svozovou společností, je možností mikroregionální podnik
C) podpořil vyjednávání se svozovou společností – hájil společné zájmy a potřeby obcí, usiloval o oboustranně výhodnou dohodu
D) Pomohl se zajištěním dalších potřeb obcí (roční hlášení apod)
Zástupci členských obcí přítomní na mimořádném jednání DSO navrhli zřízení této pozice na jeden rok s možností prodloužení.
- Odhad mzdových nákladů na plný úvazek cca 800 000 – jde o specialistu, odborníka
- Výběrové řízení by bylo realizováno v První polovině roku 2022, počítá se se začátkem působení od 06/2023, 
- Více informací v zápise z 24.2.
Příloha náklady na financování pozice manažera odpadového hospodářství
Předpokládané další kroky Další kroky:
Kancelář připraví výběrové řízení (03-04 2022)
výběrové řízení 
výběr uchazeče
zahájení činnosti ?06 2022?
Zastupitelstva obcí a měst projednají do 30.4. možnosti zapojení obce do této aktivity.
</t>
  </si>
  <si>
    <r>
      <t xml:space="preserve">Příspěvek na "financování kanceláře" - </t>
    </r>
    <r>
      <rPr>
        <b/>
        <sz val="10"/>
        <color indexed="10"/>
        <rFont val="Arial"/>
        <family val="2"/>
        <charset val="238"/>
      </rPr>
      <t xml:space="preserve"> </t>
    </r>
    <r>
      <rPr>
        <b/>
        <sz val="10"/>
        <rFont val="Arial"/>
        <family val="2"/>
        <charset val="238"/>
      </rPr>
      <t>příspěvek vybrán v roce 2022 - financování r.2022 - 9/2023</t>
    </r>
  </si>
  <si>
    <t>49% dotace z LK + 51% DSO</t>
  </si>
  <si>
    <t>Tabulka č. 10</t>
  </si>
  <si>
    <t>50% dotace z LK - ve fázi přípravy žádosti</t>
  </si>
  <si>
    <t>příspěvek - 50% podíl dle počtu obyvatel                (po zaokrouhlední)</t>
  </si>
  <si>
    <t>Na základě možnosti žádat o financování provozních(mzdových) výdajů kanceláře DSO, je připraven tento předpoklad financování ve výši 50% předpokládaných výdajů z rozpočtů členských měst a obcí.</t>
  </si>
  <si>
    <t>všichni</t>
  </si>
  <si>
    <t>rozdíl</t>
  </si>
  <si>
    <t xml:space="preserve">všichni </t>
  </si>
  <si>
    <t>současná</t>
  </si>
  <si>
    <t>skutečná částka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</si>
</sst>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Kč&quot;;[Red]\-#,##0.00\ &quot;Kč&quot;"/>
    <numFmt numFmtId="44" formatCode="_-* #,##0.00\ &quot;Kč&quot;_-;\-* #,##0.00\ &quot;Kč&quot;_-;_-* &quot;-&quot;??\ &quot;Kč&quot;_-;_-@_-"/>
    <numFmt numFmtId="164" formatCode="_-* #,##0.00\ _K_č_-;\-* #,##0.00\ _K_č_-;_-* &quot;-&quot;??\ _K_č_-;_-@_-"/>
    <numFmt numFmtId="165" formatCode="_-* #,##0\ _K_č_-;\-* #,##0\ _K_č_-;_-* &quot;-&quot;??\ _K_č_-;_-@_-"/>
    <numFmt numFmtId="166" formatCode="#,##0.000000"/>
    <numFmt numFmtId="167" formatCode="#,##0.00\ &quot;Kč&quot;"/>
    <numFmt numFmtId="168" formatCode="#,##0\ &quot;Kč&quot;"/>
  </numFmts>
  <fonts count="34" x14ac:knownFonts="1">
    <font>
      <sz val="10"/>
      <name val="Arial"/>
      <charset val="238"/>
    </font>
    <font>
      <sz val="10"/>
      <name val="Arial"/>
      <family val="2"/>
      <charset val="238"/>
    </font>
    <font>
      <sz val="10"/>
      <name val="Arial CE"/>
      <family val="2"/>
      <charset val="238"/>
    </font>
    <font>
      <b/>
      <sz val="10"/>
      <name val="Arial"/>
      <family val="2"/>
      <charset val="238"/>
    </font>
    <font>
      <b/>
      <sz val="12"/>
      <name val="Arial"/>
      <family val="2"/>
      <charset val="238"/>
    </font>
    <font>
      <sz val="8"/>
      <name val="Arial"/>
      <family val="2"/>
      <charset val="238"/>
    </font>
    <font>
      <b/>
      <sz val="11"/>
      <name val="Arial"/>
      <family val="2"/>
      <charset val="238"/>
    </font>
    <font>
      <b/>
      <sz val="8"/>
      <name val="Arial"/>
      <family val="2"/>
      <charset val="238"/>
    </font>
    <font>
      <sz val="9"/>
      <name val="Arial"/>
      <family val="2"/>
      <charset val="238"/>
    </font>
    <font>
      <b/>
      <sz val="9"/>
      <name val="Arial"/>
      <family val="2"/>
      <charset val="238"/>
    </font>
    <font>
      <b/>
      <sz val="14"/>
      <name val="Arial"/>
      <family val="2"/>
      <charset val="238"/>
    </font>
    <font>
      <sz val="12"/>
      <name val="Times New Roman"/>
      <family val="1"/>
      <charset val="238"/>
    </font>
    <font>
      <sz val="9"/>
      <color indexed="81"/>
      <name val="Tahoma"/>
      <family val="2"/>
      <charset val="238"/>
    </font>
    <font>
      <b/>
      <sz val="9"/>
      <color indexed="81"/>
      <name val="Tahoma"/>
      <family val="2"/>
      <charset val="238"/>
    </font>
    <font>
      <b/>
      <i/>
      <sz val="12"/>
      <name val="Times New Roman"/>
      <family val="1"/>
      <charset val="238"/>
    </font>
    <font>
      <b/>
      <i/>
      <sz val="10"/>
      <name val="Times New Roman"/>
      <family val="1"/>
      <charset val="238"/>
    </font>
    <font>
      <sz val="10"/>
      <name val="Helv"/>
      <charset val="238"/>
    </font>
    <font>
      <sz val="8"/>
      <name val="Arial CE"/>
      <family val="2"/>
      <charset val="238"/>
    </font>
    <font>
      <b/>
      <sz val="9"/>
      <name val="Arial CE"/>
      <charset val="238"/>
    </font>
    <font>
      <b/>
      <sz val="9"/>
      <color indexed="10"/>
      <name val="Arial"/>
      <family val="2"/>
      <charset val="238"/>
    </font>
    <font>
      <b/>
      <sz val="10"/>
      <color indexed="10"/>
      <name val="Arial"/>
      <family val="2"/>
      <charset val="238"/>
    </font>
    <font>
      <b/>
      <sz val="11"/>
      <color theme="1"/>
      <name val="Calibri"/>
      <family val="2"/>
      <charset val="238"/>
      <scheme val="minor"/>
    </font>
    <font>
      <b/>
      <i/>
      <sz val="11"/>
      <color rgb="FF000000"/>
      <name val="Times New Roman"/>
      <family val="1"/>
      <charset val="238"/>
    </font>
    <font>
      <b/>
      <sz val="10"/>
      <color theme="0" tint="-0.499984740745262"/>
      <name val="Arial"/>
      <family val="2"/>
      <charset val="238"/>
    </font>
    <font>
      <b/>
      <sz val="10"/>
      <color theme="0" tint="-0.34998626667073579"/>
      <name val="Arial"/>
      <family val="2"/>
      <charset val="238"/>
    </font>
    <font>
      <sz val="10"/>
      <color theme="0" tint="-0.34998626667073579"/>
      <name val="Arial"/>
      <family val="2"/>
      <charset val="238"/>
    </font>
    <font>
      <b/>
      <sz val="11"/>
      <color rgb="FF000000"/>
      <name val="Times New Roman"/>
      <family val="1"/>
      <charset val="238"/>
    </font>
    <font>
      <b/>
      <sz val="10"/>
      <color theme="1"/>
      <name val="Calibri"/>
      <family val="2"/>
      <charset val="238"/>
      <scheme val="minor"/>
    </font>
    <font>
      <sz val="10"/>
      <color rgb="FFFF0000"/>
      <name val="Arial"/>
      <family val="2"/>
      <charset val="238"/>
    </font>
    <font>
      <sz val="10"/>
      <color theme="1"/>
      <name val="Arial"/>
      <family val="2"/>
      <charset val="238"/>
    </font>
    <font>
      <sz val="10"/>
      <color theme="0" tint="-0.499984740745262"/>
      <name val="Arial"/>
      <family val="2"/>
      <charset val="238"/>
    </font>
    <font>
      <b/>
      <sz val="14"/>
      <color theme="1"/>
      <name val="Calibri"/>
      <family val="2"/>
      <charset val="238"/>
      <scheme val="minor"/>
    </font>
    <font>
      <sz val="10"/>
      <color rgb="FF0070C0"/>
      <name val="Arial"/>
      <family val="2"/>
      <charset val="238"/>
    </font>
    <font>
      <b/>
      <sz val="10"/>
      <color rgb="FF0070C0"/>
      <name val="Arial"/>
      <family val="2"/>
      <charset val="238"/>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CCFFFF"/>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7" tint="0.59999389629810485"/>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0" fontId="16" fillId="0" borderId="0"/>
    <xf numFmtId="0" fontId="2" fillId="0" borderId="0"/>
    <xf numFmtId="9" fontId="1" fillId="0" borderId="0" applyFont="0" applyFill="0" applyBorder="0" applyAlignment="0" applyProtection="0"/>
  </cellStyleXfs>
  <cellXfs count="460">
    <xf numFmtId="0" fontId="0" fillId="0" borderId="0" xfId="0"/>
    <xf numFmtId="164" fontId="0" fillId="0" borderId="0" xfId="1" applyFont="1"/>
    <xf numFmtId="44" fontId="0" fillId="0" borderId="0" xfId="2" applyFont="1"/>
    <xf numFmtId="164" fontId="3" fillId="0" borderId="1" xfId="1" applyFont="1" applyBorder="1"/>
    <xf numFmtId="164" fontId="0" fillId="0" borderId="0" xfId="1" applyFont="1" applyBorder="1"/>
    <xf numFmtId="0" fontId="3" fillId="0" borderId="0" xfId="0" applyFont="1"/>
    <xf numFmtId="164" fontId="0" fillId="0" borderId="0" xfId="0" applyNumberFormat="1"/>
    <xf numFmtId="0" fontId="0" fillId="2" borderId="2" xfId="0" applyFill="1" applyBorder="1"/>
    <xf numFmtId="0" fontId="0" fillId="2" borderId="0" xfId="0" applyFill="1"/>
    <xf numFmtId="0" fontId="0" fillId="2" borderId="3" xfId="0" applyFill="1" applyBorder="1"/>
    <xf numFmtId="44" fontId="6" fillId="0" borderId="0" xfId="2" applyFont="1"/>
    <xf numFmtId="44" fontId="3" fillId="0" borderId="0" xfId="2" applyFont="1"/>
    <xf numFmtId="44" fontId="3" fillId="0" borderId="0" xfId="2" applyFont="1" applyFill="1" applyBorder="1"/>
    <xf numFmtId="44" fontId="3" fillId="0" borderId="0" xfId="2" applyFont="1" applyBorder="1"/>
    <xf numFmtId="44" fontId="3" fillId="3" borderId="4" xfId="2" applyFont="1" applyFill="1" applyBorder="1"/>
    <xf numFmtId="44" fontId="3" fillId="3" borderId="1" xfId="2" applyFont="1" applyFill="1" applyBorder="1"/>
    <xf numFmtId="44" fontId="3" fillId="0" borderId="5" xfId="2" applyFont="1" applyBorder="1"/>
    <xf numFmtId="44" fontId="3" fillId="0" borderId="4" xfId="2" applyFont="1" applyBorder="1"/>
    <xf numFmtId="0" fontId="3" fillId="2" borderId="3" xfId="0" applyFont="1" applyFill="1" applyBorder="1"/>
    <xf numFmtId="0" fontId="0" fillId="2" borderId="6" xfId="0" applyFill="1" applyBorder="1"/>
    <xf numFmtId="0" fontId="0" fillId="2" borderId="7" xfId="0" applyFill="1" applyBorder="1"/>
    <xf numFmtId="0" fontId="0" fillId="2" borderId="8" xfId="0" applyFill="1" applyBorder="1"/>
    <xf numFmtId="0" fontId="3" fillId="2" borderId="8" xfId="0" applyFont="1" applyFill="1" applyBorder="1"/>
    <xf numFmtId="0" fontId="3" fillId="2" borderId="7" xfId="0" applyFont="1" applyFill="1" applyBorder="1"/>
    <xf numFmtId="0" fontId="0" fillId="2" borderId="9" xfId="0" applyFill="1" applyBorder="1"/>
    <xf numFmtId="0" fontId="0" fillId="2" borderId="10" xfId="0" applyFill="1" applyBorder="1" applyAlignment="1">
      <alignment horizontal="center"/>
    </xf>
    <xf numFmtId="0" fontId="3" fillId="2" borderId="10" xfId="0" applyFont="1" applyFill="1" applyBorder="1" applyAlignment="1">
      <alignment horizontal="center" wrapText="1"/>
    </xf>
    <xf numFmtId="164" fontId="3" fillId="2" borderId="11" xfId="1" applyFont="1" applyFill="1" applyBorder="1" applyAlignment="1">
      <alignment horizontal="center"/>
    </xf>
    <xf numFmtId="164" fontId="3" fillId="2" borderId="12" xfId="1" applyFont="1" applyFill="1" applyBorder="1"/>
    <xf numFmtId="164" fontId="3" fillId="2" borderId="13" xfId="1" applyFont="1" applyFill="1" applyBorder="1"/>
    <xf numFmtId="49" fontId="3" fillId="0" borderId="4" xfId="2" applyNumberFormat="1" applyFont="1" applyFill="1" applyBorder="1"/>
    <xf numFmtId="0" fontId="0" fillId="4" borderId="15" xfId="0" applyFill="1" applyBorder="1"/>
    <xf numFmtId="0" fontId="0" fillId="3" borderId="2" xfId="0" applyFill="1" applyBorder="1"/>
    <xf numFmtId="0" fontId="0" fillId="3" borderId="3" xfId="0" applyFill="1" applyBorder="1"/>
    <xf numFmtId="0" fontId="3" fillId="4" borderId="16" xfId="0" applyFont="1" applyFill="1" applyBorder="1"/>
    <xf numFmtId="44" fontId="10" fillId="0" borderId="0" xfId="2" applyFont="1"/>
    <xf numFmtId="44" fontId="3" fillId="3" borderId="7" xfId="2" applyFont="1" applyFill="1" applyBorder="1"/>
    <xf numFmtId="44" fontId="3" fillId="3" borderId="5" xfId="2" applyFont="1" applyFill="1" applyBorder="1"/>
    <xf numFmtId="0" fontId="2" fillId="3" borderId="1" xfId="4" applyFill="1" applyBorder="1"/>
    <xf numFmtId="44" fontId="0" fillId="0" borderId="0" xfId="0" applyNumberFormat="1"/>
    <xf numFmtId="0" fontId="0" fillId="4" borderId="18" xfId="0" applyFill="1" applyBorder="1"/>
    <xf numFmtId="0" fontId="3" fillId="2" borderId="19" xfId="0" applyFont="1" applyFill="1" applyBorder="1"/>
    <xf numFmtId="164" fontId="2" fillId="5" borderId="6" xfId="1" applyFont="1" applyFill="1" applyBorder="1" applyAlignment="1"/>
    <xf numFmtId="164" fontId="3" fillId="0" borderId="4" xfId="1" applyFont="1" applyBorder="1"/>
    <xf numFmtId="14" fontId="0" fillId="0" borderId="0" xfId="0" applyNumberFormat="1"/>
    <xf numFmtId="164" fontId="3" fillId="3" borderId="12" xfId="1" applyFont="1" applyFill="1" applyBorder="1"/>
    <xf numFmtId="0" fontId="0" fillId="6" borderId="0" xfId="0" applyFill="1"/>
    <xf numFmtId="0" fontId="0" fillId="6" borderId="3" xfId="0" applyFill="1" applyBorder="1"/>
    <xf numFmtId="164" fontId="3" fillId="6" borderId="12" xfId="1" applyFont="1" applyFill="1" applyBorder="1"/>
    <xf numFmtId="0" fontId="3" fillId="3" borderId="3" xfId="0" applyFont="1" applyFill="1" applyBorder="1"/>
    <xf numFmtId="164" fontId="3" fillId="8" borderId="5" xfId="1" applyFont="1" applyFill="1" applyBorder="1"/>
    <xf numFmtId="164" fontId="0" fillId="0" borderId="20" xfId="2" applyNumberFormat="1" applyFont="1" applyBorder="1"/>
    <xf numFmtId="0" fontId="21" fillId="0" borderId="0" xfId="0" applyFont="1"/>
    <xf numFmtId="39" fontId="3" fillId="3" borderId="21" xfId="0" applyNumberFormat="1" applyFont="1" applyFill="1" applyBorder="1"/>
    <xf numFmtId="4" fontId="0" fillId="0" borderId="0" xfId="0" applyNumberFormat="1"/>
    <xf numFmtId="166" fontId="0" fillId="0" borderId="0" xfId="0" applyNumberFormat="1"/>
    <xf numFmtId="164" fontId="2" fillId="4" borderId="6" xfId="1" applyFont="1" applyFill="1" applyBorder="1" applyAlignment="1"/>
    <xf numFmtId="164" fontId="2" fillId="3" borderId="2" xfId="1" applyFont="1" applyFill="1" applyBorder="1" applyAlignment="1"/>
    <xf numFmtId="0" fontId="0" fillId="3" borderId="22" xfId="0" applyFill="1" applyBorder="1"/>
    <xf numFmtId="0" fontId="3" fillId="0" borderId="23" xfId="0" applyFont="1" applyBorder="1"/>
    <xf numFmtId="3" fontId="0" fillId="0" borderId="0" xfId="0" applyNumberFormat="1"/>
    <xf numFmtId="0" fontId="0" fillId="0" borderId="5" xfId="0" applyBorder="1"/>
    <xf numFmtId="3" fontId="0" fillId="0" borderId="8" xfId="0" applyNumberFormat="1" applyBorder="1"/>
    <xf numFmtId="4" fontId="3" fillId="8" borderId="1" xfId="0" applyNumberFormat="1" applyFont="1" applyFill="1" applyBorder="1"/>
    <xf numFmtId="0" fontId="4" fillId="2" borderId="0" xfId="0" applyFont="1" applyFill="1"/>
    <xf numFmtId="0" fontId="4" fillId="0" borderId="0" xfId="0" applyFont="1"/>
    <xf numFmtId="0" fontId="0" fillId="0" borderId="23" xfId="0" applyBorder="1"/>
    <xf numFmtId="164" fontId="3" fillId="6" borderId="24" xfId="1" applyFont="1" applyFill="1" applyBorder="1"/>
    <xf numFmtId="164" fontId="3" fillId="2" borderId="25" xfId="1" applyFont="1" applyFill="1" applyBorder="1" applyAlignment="1">
      <alignment horizontal="center"/>
    </xf>
    <xf numFmtId="164" fontId="3" fillId="8" borderId="1" xfId="1" applyFont="1" applyFill="1" applyBorder="1"/>
    <xf numFmtId="164" fontId="3" fillId="2" borderId="21" xfId="1" applyFont="1" applyFill="1" applyBorder="1"/>
    <xf numFmtId="49" fontId="8" fillId="9" borderId="2" xfId="2" applyNumberFormat="1" applyFont="1" applyFill="1" applyBorder="1"/>
    <xf numFmtId="164" fontId="3" fillId="3" borderId="21" xfId="1" applyFont="1" applyFill="1" applyBorder="1"/>
    <xf numFmtId="0" fontId="0" fillId="6" borderId="26" xfId="0" applyFill="1" applyBorder="1"/>
    <xf numFmtId="0" fontId="3" fillId="2" borderId="27" xfId="0" applyFont="1" applyFill="1" applyBorder="1" applyAlignment="1">
      <alignment horizontal="center" wrapText="1"/>
    </xf>
    <xf numFmtId="0" fontId="0" fillId="6" borderId="28" xfId="0" applyFill="1" applyBorder="1"/>
    <xf numFmtId="0" fontId="11" fillId="0" borderId="0" xfId="0" applyFont="1" applyAlignment="1">
      <alignment vertical="center"/>
    </xf>
    <xf numFmtId="0" fontId="0" fillId="2" borderId="14" xfId="0" applyFill="1" applyBorder="1"/>
    <xf numFmtId="0" fontId="3" fillId="3" borderId="22" xfId="0" applyFont="1" applyFill="1" applyBorder="1"/>
    <xf numFmtId="164" fontId="3" fillId="2" borderId="11" xfId="1" applyFont="1" applyFill="1" applyBorder="1" applyAlignment="1">
      <alignment horizontal="center" wrapText="1"/>
    </xf>
    <xf numFmtId="0" fontId="0" fillId="6" borderId="30" xfId="0" applyFill="1" applyBorder="1"/>
    <xf numFmtId="164" fontId="3" fillId="7" borderId="12" xfId="1" applyFont="1" applyFill="1" applyBorder="1"/>
    <xf numFmtId="9" fontId="0" fillId="0" borderId="0" xfId="0" applyNumberFormat="1"/>
    <xf numFmtId="0" fontId="0" fillId="8" borderId="2" xfId="0" applyFill="1" applyBorder="1"/>
    <xf numFmtId="0" fontId="0" fillId="8" borderId="3" xfId="0" applyFill="1" applyBorder="1"/>
    <xf numFmtId="164" fontId="3" fillId="8" borderId="21" xfId="1" applyFont="1" applyFill="1" applyBorder="1"/>
    <xf numFmtId="0" fontId="0" fillId="3" borderId="9" xfId="0" applyFill="1" applyBorder="1"/>
    <xf numFmtId="0" fontId="3" fillId="2" borderId="12" xfId="0" applyFont="1" applyFill="1" applyBorder="1"/>
    <xf numFmtId="0" fontId="3" fillId="3" borderId="12" xfId="0" applyFont="1" applyFill="1" applyBorder="1"/>
    <xf numFmtId="0" fontId="0" fillId="3" borderId="31" xfId="0" applyFill="1" applyBorder="1"/>
    <xf numFmtId="0" fontId="3" fillId="3" borderId="32" xfId="0" applyFont="1" applyFill="1" applyBorder="1"/>
    <xf numFmtId="0" fontId="0" fillId="2" borderId="33" xfId="0" applyFill="1" applyBorder="1"/>
    <xf numFmtId="0" fontId="3" fillId="2" borderId="34" xfId="0" applyFont="1" applyFill="1" applyBorder="1"/>
    <xf numFmtId="0" fontId="0" fillId="0" borderId="4" xfId="0" applyBorder="1"/>
    <xf numFmtId="0" fontId="3" fillId="3" borderId="35" xfId="0" applyFont="1" applyFill="1" applyBorder="1"/>
    <xf numFmtId="1" fontId="3" fillId="0" borderId="33" xfId="0" applyNumberFormat="1" applyFont="1" applyBorder="1"/>
    <xf numFmtId="0" fontId="0" fillId="6" borderId="21" xfId="0" applyFill="1" applyBorder="1"/>
    <xf numFmtId="0" fontId="3" fillId="2" borderId="25" xfId="0" applyFont="1" applyFill="1" applyBorder="1" applyAlignment="1">
      <alignment horizontal="center" wrapText="1"/>
    </xf>
    <xf numFmtId="164" fontId="3" fillId="3" borderId="21" xfId="0" applyNumberFormat="1" applyFont="1" applyFill="1" applyBorder="1"/>
    <xf numFmtId="164" fontId="3" fillId="2" borderId="21" xfId="0" applyNumberFormat="1" applyFont="1" applyFill="1" applyBorder="1"/>
    <xf numFmtId="164" fontId="3" fillId="7" borderId="21" xfId="0" applyNumberFormat="1" applyFont="1" applyFill="1" applyBorder="1"/>
    <xf numFmtId="164" fontId="6" fillId="8" borderId="1" xfId="0" applyNumberFormat="1" applyFont="1" applyFill="1" applyBorder="1"/>
    <xf numFmtId="39" fontId="3" fillId="2" borderId="21" xfId="0" applyNumberFormat="1" applyFont="1" applyFill="1" applyBorder="1"/>
    <xf numFmtId="49" fontId="3" fillId="0" borderId="6" xfId="2" applyNumberFormat="1" applyFont="1" applyBorder="1"/>
    <xf numFmtId="0" fontId="0" fillId="2" borderId="7" xfId="0" applyFill="1" applyBorder="1" applyAlignment="1">
      <alignment vertical="center" wrapText="1"/>
    </xf>
    <xf numFmtId="0" fontId="8" fillId="0" borderId="36"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9" fontId="0" fillId="0" borderId="0" xfId="5" applyFont="1"/>
    <xf numFmtId="0" fontId="0" fillId="0" borderId="9" xfId="0" applyBorder="1"/>
    <xf numFmtId="44" fontId="0" fillId="12" borderId="12" xfId="0" applyNumberFormat="1" applyFill="1" applyBorder="1"/>
    <xf numFmtId="44" fontId="3" fillId="12" borderId="34" xfId="2" applyFont="1" applyFill="1" applyBorder="1"/>
    <xf numFmtId="0" fontId="22" fillId="0" borderId="0" xfId="0" applyFont="1" applyAlignment="1">
      <alignment horizontal="justify" vertical="center"/>
    </xf>
    <xf numFmtId="44" fontId="3" fillId="0" borderId="0" xfId="0" applyNumberFormat="1" applyFont="1"/>
    <xf numFmtId="0" fontId="14" fillId="0" borderId="0" xfId="0" applyFont="1" applyAlignment="1">
      <alignment horizontal="justify" vertical="center"/>
    </xf>
    <xf numFmtId="44" fontId="15" fillId="0" borderId="0" xfId="2" applyFont="1" applyAlignment="1">
      <alignment horizontal="justify" vertical="center"/>
    </xf>
    <xf numFmtId="0" fontId="0" fillId="0" borderId="3" xfId="0" applyBorder="1"/>
    <xf numFmtId="0" fontId="17" fillId="0" borderId="0" xfId="3" applyFont="1" applyAlignment="1">
      <alignment horizontal="left" vertical="center"/>
    </xf>
    <xf numFmtId="2" fontId="0" fillId="0" borderId="0" xfId="0" applyNumberFormat="1"/>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2"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43" xfId="0" applyFont="1" applyBorder="1" applyAlignment="1">
      <alignment horizontal="center" vertical="center" wrapText="1"/>
    </xf>
    <xf numFmtId="44" fontId="23" fillId="0" borderId="44" xfId="0" applyNumberFormat="1" applyFont="1" applyBorder="1" applyAlignment="1">
      <alignment horizontal="center" vertical="center" wrapText="1"/>
    </xf>
    <xf numFmtId="0" fontId="3" fillId="0" borderId="45" xfId="0" applyFont="1" applyBorder="1"/>
    <xf numFmtId="3" fontId="3" fillId="0" borderId="23" xfId="0" applyNumberFormat="1" applyFont="1" applyBorder="1" applyAlignment="1">
      <alignment horizontal="center"/>
    </xf>
    <xf numFmtId="0" fontId="0" fillId="0" borderId="3" xfId="0" applyBorder="1" applyAlignment="1">
      <alignment horizontal="center" vertical="center" wrapText="1"/>
    </xf>
    <xf numFmtId="44" fontId="3" fillId="3" borderId="11" xfId="2" applyFont="1" applyFill="1" applyBorder="1"/>
    <xf numFmtId="44" fontId="3" fillId="2" borderId="12" xfId="2" applyFont="1" applyFill="1" applyBorder="1"/>
    <xf numFmtId="44" fontId="3" fillId="3" borderId="12" xfId="2" applyFont="1" applyFill="1" applyBorder="1"/>
    <xf numFmtId="44" fontId="3" fillId="3" borderId="32" xfId="2" applyFont="1" applyFill="1" applyBorder="1"/>
    <xf numFmtId="44" fontId="3" fillId="2" borderId="34" xfId="2" applyFont="1" applyFill="1" applyBorder="1"/>
    <xf numFmtId="1" fontId="0" fillId="0" borderId="1" xfId="0" applyNumberFormat="1" applyBorder="1" applyAlignment="1">
      <alignment horizontal="center"/>
    </xf>
    <xf numFmtId="1" fontId="0" fillId="0" borderId="36" xfId="0" applyNumberFormat="1" applyBorder="1" applyAlignment="1">
      <alignment horizontal="center"/>
    </xf>
    <xf numFmtId="0" fontId="3" fillId="3" borderId="11" xfId="0" applyFont="1" applyFill="1" applyBorder="1" applyAlignment="1">
      <alignment horizontal="center"/>
    </xf>
    <xf numFmtId="0" fontId="3" fillId="2" borderId="12" xfId="0" applyFont="1" applyFill="1" applyBorder="1" applyAlignment="1">
      <alignment horizontal="center"/>
    </xf>
    <xf numFmtId="0" fontId="3" fillId="3" borderId="12" xfId="0" applyFont="1" applyFill="1" applyBorder="1" applyAlignment="1">
      <alignment horizontal="center"/>
    </xf>
    <xf numFmtId="0" fontId="3" fillId="3" borderId="32" xfId="0" applyFont="1" applyFill="1" applyBorder="1" applyAlignment="1">
      <alignment horizontal="center"/>
    </xf>
    <xf numFmtId="0" fontId="3" fillId="2" borderId="34" xfId="0" applyFont="1" applyFill="1" applyBorder="1" applyAlignment="1">
      <alignment horizontal="center"/>
    </xf>
    <xf numFmtId="0" fontId="3" fillId="0" borderId="36" xfId="0" applyFont="1" applyBorder="1" applyAlignment="1">
      <alignment horizontal="center"/>
    </xf>
    <xf numFmtId="0" fontId="18" fillId="0" borderId="34" xfId="3" applyFont="1" applyBorder="1" applyAlignment="1">
      <alignment horizontal="center"/>
    </xf>
    <xf numFmtId="44" fontId="3" fillId="0" borderId="20" xfId="2" applyFont="1" applyBorder="1"/>
    <xf numFmtId="0" fontId="24" fillId="0" borderId="42" xfId="0" applyFont="1" applyBorder="1" applyAlignment="1">
      <alignment horizontal="center" vertical="center" wrapText="1"/>
    </xf>
    <xf numFmtId="0" fontId="24" fillId="0" borderId="32" xfId="0" applyFont="1" applyBorder="1" applyAlignment="1">
      <alignment horizontal="center" vertical="center" wrapText="1"/>
    </xf>
    <xf numFmtId="44" fontId="24" fillId="0" borderId="44" xfId="0" applyNumberFormat="1" applyFont="1" applyBorder="1" applyAlignment="1">
      <alignment horizontal="center" vertical="center" wrapText="1"/>
    </xf>
    <xf numFmtId="44" fontId="25" fillId="12" borderId="35" xfId="2" applyFont="1" applyFill="1" applyBorder="1" applyAlignment="1"/>
    <xf numFmtId="44" fontId="25" fillId="8" borderId="12" xfId="2" applyFont="1" applyFill="1" applyBorder="1" applyAlignment="1"/>
    <xf numFmtId="44" fontId="25" fillId="3" borderId="12" xfId="2" applyFont="1" applyFill="1" applyBorder="1" applyAlignment="1"/>
    <xf numFmtId="44" fontId="25" fillId="8" borderId="35" xfId="2" applyFont="1" applyFill="1" applyBorder="1" applyAlignment="1"/>
    <xf numFmtId="44" fontId="24" fillId="0" borderId="44" xfId="2" applyFont="1" applyFill="1" applyBorder="1" applyAlignment="1"/>
    <xf numFmtId="0" fontId="8" fillId="0" borderId="0" xfId="0" applyFont="1"/>
    <xf numFmtId="0" fontId="0" fillId="6" borderId="24" xfId="0" applyFill="1" applyBorder="1"/>
    <xf numFmtId="165" fontId="3" fillId="3" borderId="12" xfId="1" applyNumberFormat="1" applyFont="1" applyFill="1" applyBorder="1"/>
    <xf numFmtId="165" fontId="3" fillId="2" borderId="12" xfId="1" applyNumberFormat="1" applyFont="1" applyFill="1" applyBorder="1"/>
    <xf numFmtId="165" fontId="3" fillId="2" borderId="13" xfId="1" applyNumberFormat="1" applyFont="1" applyFill="1" applyBorder="1"/>
    <xf numFmtId="165" fontId="3" fillId="8" borderId="5" xfId="1" applyNumberFormat="1" applyFont="1" applyFill="1" applyBorder="1"/>
    <xf numFmtId="0" fontId="8" fillId="0" borderId="1" xfId="0" applyFont="1" applyBorder="1" applyAlignment="1">
      <alignment horizontal="center" vertical="center" wrapText="1"/>
    </xf>
    <xf numFmtId="164" fontId="0" fillId="3" borderId="21" xfId="0" applyNumberFormat="1" applyFill="1" applyBorder="1"/>
    <xf numFmtId="164" fontId="0" fillId="2" borderId="21" xfId="0" applyNumberFormat="1" applyFill="1" applyBorder="1"/>
    <xf numFmtId="164" fontId="5" fillId="0" borderId="47" xfId="1" applyFont="1" applyBorder="1" applyAlignment="1">
      <alignment horizontal="center" vertical="center" wrapText="1"/>
    </xf>
    <xf numFmtId="164" fontId="0" fillId="3" borderId="28" xfId="0" applyNumberFormat="1" applyFill="1" applyBorder="1"/>
    <xf numFmtId="164" fontId="0" fillId="2" borderId="28" xfId="0" applyNumberFormat="1" applyFill="1" applyBorder="1"/>
    <xf numFmtId="164" fontId="3" fillId="0" borderId="47" xfId="1" applyFont="1" applyBorder="1"/>
    <xf numFmtId="164" fontId="5" fillId="0" borderId="1" xfId="1" applyFont="1" applyBorder="1" applyAlignment="1">
      <alignment horizontal="center" vertical="center" wrapText="1"/>
    </xf>
    <xf numFmtId="0" fontId="8" fillId="0" borderId="47" xfId="0" applyFont="1" applyBorder="1" applyAlignment="1">
      <alignment horizontal="center" vertical="center" wrapText="1"/>
    </xf>
    <xf numFmtId="0" fontId="0" fillId="4" borderId="17" xfId="0" applyFill="1" applyBorder="1"/>
    <xf numFmtId="164" fontId="7" fillId="2" borderId="1" xfId="1" applyFont="1" applyFill="1" applyBorder="1" applyAlignment="1">
      <alignment horizontal="center" vertical="center" wrapText="1"/>
    </xf>
    <xf numFmtId="0" fontId="0" fillId="4" borderId="16" xfId="0" applyFill="1" applyBorder="1"/>
    <xf numFmtId="0" fontId="0" fillId="2" borderId="19" xfId="0" applyFill="1" applyBorder="1" applyAlignment="1">
      <alignment horizontal="center" vertical="center" wrapText="1"/>
    </xf>
    <xf numFmtId="0" fontId="0" fillId="3" borderId="24" xfId="0" applyFill="1" applyBorder="1"/>
    <xf numFmtId="0" fontId="0" fillId="2" borderId="24" xfId="0" applyFill="1" applyBorder="1"/>
    <xf numFmtId="0" fontId="0" fillId="3" borderId="48" xfId="0" applyFill="1" applyBorder="1"/>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3" fillId="2" borderId="10" xfId="0" applyFont="1" applyFill="1" applyBorder="1" applyAlignment="1">
      <alignment horizontal="center" vertical="center" wrapText="1"/>
    </xf>
    <xf numFmtId="164" fontId="3" fillId="2" borderId="11" xfId="1" applyFont="1" applyFill="1"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left"/>
    </xf>
    <xf numFmtId="0" fontId="16" fillId="0" borderId="0" xfId="3"/>
    <xf numFmtId="0" fontId="21" fillId="0" borderId="3" xfId="0" applyFont="1" applyBorder="1"/>
    <xf numFmtId="0" fontId="0" fillId="0" borderId="3" xfId="0" applyBorder="1" applyAlignment="1">
      <alignment horizontal="right"/>
    </xf>
    <xf numFmtId="8" fontId="0" fillId="0" borderId="3" xfId="0" applyNumberFormat="1" applyBorder="1" applyAlignment="1">
      <alignment horizontal="right"/>
    </xf>
    <xf numFmtId="0" fontId="27" fillId="0" borderId="0" xfId="0" applyFont="1"/>
    <xf numFmtId="0" fontId="0" fillId="0" borderId="0" xfId="0" applyAlignment="1">
      <alignment horizontal="right"/>
    </xf>
    <xf numFmtId="8" fontId="21" fillId="0" borderId="3" xfId="0" applyNumberFormat="1" applyFont="1" applyBorder="1"/>
    <xf numFmtId="44" fontId="0" fillId="0" borderId="3" xfId="0" applyNumberFormat="1" applyBorder="1" applyAlignment="1">
      <alignment horizontal="right"/>
    </xf>
    <xf numFmtId="44" fontId="0" fillId="0" borderId="0" xfId="2" applyFont="1" applyAlignment="1">
      <alignment vertical="center"/>
    </xf>
    <xf numFmtId="44" fontId="0" fillId="0" borderId="0" xfId="0" applyNumberFormat="1" applyAlignment="1">
      <alignment vertical="center"/>
    </xf>
    <xf numFmtId="0" fontId="0" fillId="0" borderId="0" xfId="0" applyAlignment="1">
      <alignment horizontal="center"/>
    </xf>
    <xf numFmtId="0" fontId="3" fillId="2" borderId="19" xfId="0" applyFont="1" applyFill="1" applyBorder="1" applyAlignment="1">
      <alignment horizontal="center"/>
    </xf>
    <xf numFmtId="164" fontId="0" fillId="2" borderId="10" xfId="0" applyNumberFormat="1" applyFill="1" applyBorder="1" applyAlignment="1">
      <alignment horizontal="center"/>
    </xf>
    <xf numFmtId="0" fontId="28" fillId="0" borderId="0" xfId="0" applyFont="1"/>
    <xf numFmtId="0" fontId="0" fillId="0" borderId="0" xfId="0" applyAlignment="1">
      <alignment wrapText="1"/>
    </xf>
    <xf numFmtId="44" fontId="25" fillId="12" borderId="29" xfId="2" applyFont="1" applyFill="1" applyBorder="1" applyAlignment="1"/>
    <xf numFmtId="44" fontId="25" fillId="8" borderId="46" xfId="2" applyFont="1" applyFill="1" applyBorder="1" applyAlignment="1"/>
    <xf numFmtId="44" fontId="25" fillId="3" borderId="46" xfId="2" applyFont="1" applyFill="1" applyBorder="1" applyAlignment="1"/>
    <xf numFmtId="44" fontId="25" fillId="8" borderId="29" xfId="2" applyFont="1" applyFill="1" applyBorder="1" applyAlignment="1"/>
    <xf numFmtId="14" fontId="26" fillId="0" borderId="0" xfId="0" applyNumberFormat="1" applyFont="1" applyAlignment="1">
      <alignment vertical="center" wrapText="1"/>
    </xf>
    <xf numFmtId="0" fontId="26" fillId="0" borderId="0" xfId="0" applyFont="1" applyAlignment="1">
      <alignment vertical="center" wrapText="1"/>
    </xf>
    <xf numFmtId="0" fontId="0" fillId="2" borderId="47" xfId="0" applyFill="1" applyBorder="1" applyAlignment="1">
      <alignment vertical="center" wrapText="1"/>
    </xf>
    <xf numFmtId="0" fontId="0" fillId="3" borderId="28" xfId="0" applyFill="1" applyBorder="1"/>
    <xf numFmtId="0" fontId="0" fillId="2" borderId="28" xfId="0" applyFill="1" applyBorder="1"/>
    <xf numFmtId="0" fontId="0" fillId="3" borderId="0" xfId="0" applyFill="1"/>
    <xf numFmtId="0" fontId="0" fillId="2" borderId="50" xfId="0" applyFill="1" applyBorder="1"/>
    <xf numFmtId="0" fontId="3" fillId="2" borderId="47" xfId="0" applyFont="1" applyFill="1" applyBorder="1"/>
    <xf numFmtId="164" fontId="28" fillId="13" borderId="10" xfId="2" applyNumberFormat="1" applyFont="1" applyFill="1" applyBorder="1" applyAlignment="1">
      <alignment vertical="center" wrapText="1"/>
    </xf>
    <xf numFmtId="164" fontId="28" fillId="13" borderId="3" xfId="2" applyNumberFormat="1" applyFont="1" applyFill="1" applyBorder="1" applyAlignment="1">
      <alignment vertical="center" wrapText="1"/>
    </xf>
    <xf numFmtId="164" fontId="28" fillId="13" borderId="43" xfId="2" applyNumberFormat="1" applyFont="1" applyFill="1" applyBorder="1" applyAlignment="1">
      <alignment vertical="center"/>
    </xf>
    <xf numFmtId="0" fontId="26" fillId="0" borderId="0" xfId="0" applyFont="1" applyAlignment="1">
      <alignment horizontal="left" vertical="center"/>
    </xf>
    <xf numFmtId="0" fontId="29" fillId="0" borderId="0" xfId="0" applyFont="1"/>
    <xf numFmtId="3" fontId="0" fillId="0" borderId="51" xfId="0" applyNumberFormat="1" applyBorder="1"/>
    <xf numFmtId="14" fontId="26" fillId="0" borderId="0" xfId="0" applyNumberFormat="1" applyFont="1" applyAlignment="1">
      <alignment horizontal="left" vertical="center" wrapText="1"/>
    </xf>
    <xf numFmtId="0" fontId="26" fillId="0" borderId="0" xfId="0" applyFont="1" applyAlignment="1">
      <alignment horizontal="left" vertical="center" wrapText="1"/>
    </xf>
    <xf numFmtId="0" fontId="3" fillId="2" borderId="27" xfId="0" applyFont="1" applyFill="1" applyBorder="1" applyAlignment="1">
      <alignment horizontal="center" vertical="center" wrapText="1"/>
    </xf>
    <xf numFmtId="0" fontId="0" fillId="2" borderId="27" xfId="0" applyFill="1" applyBorder="1" applyAlignment="1">
      <alignment horizontal="center" vertical="center"/>
    </xf>
    <xf numFmtId="0" fontId="30" fillId="0" borderId="0" xfId="0" applyFont="1"/>
    <xf numFmtId="0" fontId="23" fillId="0" borderId="42" xfId="0" applyFont="1" applyBorder="1" applyAlignment="1">
      <alignment horizontal="center" vertical="center" wrapText="1"/>
    </xf>
    <xf numFmtId="44" fontId="30" fillId="12" borderId="35" xfId="2" applyFont="1" applyFill="1" applyBorder="1" applyAlignment="1"/>
    <xf numFmtId="44" fontId="30" fillId="8" borderId="12" xfId="2" applyFont="1" applyFill="1" applyBorder="1" applyAlignment="1"/>
    <xf numFmtId="44" fontId="30" fillId="3" borderId="35" xfId="2" applyFont="1" applyFill="1" applyBorder="1" applyAlignment="1"/>
    <xf numFmtId="44" fontId="23" fillId="0" borderId="44" xfId="2" applyFont="1" applyFill="1" applyBorder="1" applyAlignment="1"/>
    <xf numFmtId="44" fontId="0" fillId="0" borderId="0" xfId="2" applyFont="1" applyBorder="1"/>
    <xf numFmtId="0" fontId="0" fillId="2" borderId="10" xfId="0" applyFill="1" applyBorder="1" applyAlignment="1">
      <alignment horizontal="center" vertical="center" wrapText="1"/>
    </xf>
    <xf numFmtId="0" fontId="3" fillId="3" borderId="3" xfId="0" applyFont="1" applyFill="1" applyBorder="1" applyAlignment="1">
      <alignment horizontal="center"/>
    </xf>
    <xf numFmtId="0" fontId="3" fillId="2" borderId="3" xfId="0" applyFont="1" applyFill="1" applyBorder="1" applyAlignment="1">
      <alignment horizontal="center"/>
    </xf>
    <xf numFmtId="0" fontId="0" fillId="3" borderId="3" xfId="0" applyFill="1" applyBorder="1" applyAlignment="1">
      <alignment horizontal="center"/>
    </xf>
    <xf numFmtId="0" fontId="0" fillId="2" borderId="3" xfId="0" applyFill="1" applyBorder="1" applyAlignment="1">
      <alignment horizontal="center"/>
    </xf>
    <xf numFmtId="0" fontId="0" fillId="3" borderId="22" xfId="0" applyFill="1" applyBorder="1" applyAlignment="1">
      <alignment horizontal="center"/>
    </xf>
    <xf numFmtId="0" fontId="0" fillId="2" borderId="14" xfId="0" applyFill="1" applyBorder="1" applyAlignment="1">
      <alignment horizontal="center"/>
    </xf>
    <xf numFmtId="0" fontId="0" fillId="3" borderId="24" xfId="0" applyFill="1" applyBorder="1" applyAlignment="1">
      <alignment horizontal="center"/>
    </xf>
    <xf numFmtId="0" fontId="0" fillId="2" borderId="24" xfId="0" applyFill="1" applyBorder="1" applyAlignment="1">
      <alignment horizontal="center"/>
    </xf>
    <xf numFmtId="164" fontId="3" fillId="6" borderId="16" xfId="1" applyFont="1" applyFill="1" applyBorder="1"/>
    <xf numFmtId="0" fontId="0" fillId="0" borderId="1" xfId="0" applyBorder="1" applyAlignment="1">
      <alignment horizontal="center" vertical="center" wrapText="1"/>
    </xf>
    <xf numFmtId="164" fontId="3" fillId="2" borderId="11" xfId="1" applyFont="1" applyFill="1" applyBorder="1" applyAlignment="1">
      <alignment horizontal="center" vertical="center" wrapText="1"/>
    </xf>
    <xf numFmtId="44" fontId="0" fillId="6" borderId="28" xfId="0" applyNumberFormat="1" applyFill="1" applyBorder="1"/>
    <xf numFmtId="164" fontId="3" fillId="2" borderId="19" xfId="0" applyNumberFormat="1" applyFont="1" applyFill="1" applyBorder="1" applyAlignment="1">
      <alignment horizontal="center"/>
    </xf>
    <xf numFmtId="39" fontId="0" fillId="0" borderId="0" xfId="0" applyNumberFormat="1"/>
    <xf numFmtId="164" fontId="24" fillId="0" borderId="52" xfId="1" applyFont="1" applyFill="1" applyBorder="1" applyAlignment="1">
      <alignment horizontal="center" vertical="center" wrapText="1"/>
    </xf>
    <xf numFmtId="44" fontId="23" fillId="0" borderId="51" xfId="0" applyNumberFormat="1" applyFont="1" applyBorder="1" applyAlignment="1">
      <alignment horizontal="center" vertical="center" wrapText="1"/>
    </xf>
    <xf numFmtId="44" fontId="3" fillId="0" borderId="51" xfId="2" applyFont="1" applyFill="1" applyBorder="1" applyAlignment="1"/>
    <xf numFmtId="164" fontId="0" fillId="0" borderId="3" xfId="1" applyFont="1" applyBorder="1"/>
    <xf numFmtId="44" fontId="0" fillId="0" borderId="3" xfId="0" applyNumberFormat="1" applyBorder="1"/>
    <xf numFmtId="44" fontId="0" fillId="2" borderId="3" xfId="0" applyNumberFormat="1" applyFill="1" applyBorder="1"/>
    <xf numFmtId="164" fontId="2" fillId="3" borderId="3" xfId="1" applyFont="1" applyFill="1" applyBorder="1" applyAlignment="1">
      <alignment horizontal="right"/>
    </xf>
    <xf numFmtId="49" fontId="2" fillId="3" borderId="12" xfId="4" applyNumberFormat="1" applyFill="1" applyBorder="1"/>
    <xf numFmtId="2" fontId="23" fillId="0" borderId="32" xfId="0" applyNumberFormat="1" applyFont="1" applyBorder="1" applyAlignment="1">
      <alignment horizontal="center" vertical="center" wrapText="1"/>
    </xf>
    <xf numFmtId="2" fontId="3" fillId="0" borderId="48" xfId="0" applyNumberFormat="1" applyFont="1" applyBorder="1" applyAlignment="1">
      <alignment horizontal="center" vertical="center" wrapText="1"/>
    </xf>
    <xf numFmtId="14" fontId="26" fillId="0" borderId="0" xfId="0" applyNumberFormat="1" applyFont="1" applyAlignment="1">
      <alignment vertical="center"/>
    </xf>
    <xf numFmtId="14" fontId="11" fillId="0" borderId="0" xfId="0" applyNumberFormat="1" applyFont="1" applyAlignment="1">
      <alignment horizontal="left" vertical="center"/>
    </xf>
    <xf numFmtId="14" fontId="26" fillId="0" borderId="0" xfId="0" applyNumberFormat="1" applyFont="1" applyAlignment="1">
      <alignment horizontal="justify" vertical="center"/>
    </xf>
    <xf numFmtId="44" fontId="30" fillId="8" borderId="35" xfId="2" applyFont="1" applyFill="1" applyBorder="1" applyAlignment="1"/>
    <xf numFmtId="44" fontId="30" fillId="3" borderId="18" xfId="2" applyFont="1" applyFill="1" applyBorder="1" applyAlignment="1"/>
    <xf numFmtId="164" fontId="24" fillId="0" borderId="53" xfId="1"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3" fillId="0" borderId="10" xfId="0" applyFont="1" applyBorder="1" applyAlignment="1">
      <alignment horizontal="center" vertical="center" wrapText="1"/>
    </xf>
    <xf numFmtId="44" fontId="3" fillId="0" borderId="10" xfId="2" applyFont="1" applyBorder="1" applyAlignment="1">
      <alignment horizontal="center" vertical="center" wrapText="1"/>
    </xf>
    <xf numFmtId="164" fontId="0" fillId="0" borderId="11" xfId="1" applyFont="1" applyBorder="1"/>
    <xf numFmtId="0" fontId="23" fillId="0" borderId="33" xfId="0" applyFont="1" applyBorder="1" applyAlignment="1">
      <alignment horizontal="center" vertical="center" wrapText="1"/>
    </xf>
    <xf numFmtId="0" fontId="23" fillId="0" borderId="37" xfId="0" applyFont="1" applyBorder="1" applyAlignment="1">
      <alignment horizontal="center" vertical="center" wrapText="1"/>
    </xf>
    <xf numFmtId="44" fontId="24" fillId="0" borderId="37" xfId="0" applyNumberFormat="1" applyFont="1" applyBorder="1" applyAlignment="1">
      <alignment horizontal="center" vertical="center" wrapText="1"/>
    </xf>
    <xf numFmtId="44" fontId="23" fillId="0" borderId="37" xfId="0" applyNumberFormat="1" applyFont="1" applyBorder="1" applyAlignment="1">
      <alignment horizontal="center" vertical="center" wrapText="1"/>
    </xf>
    <xf numFmtId="164" fontId="0" fillId="0" borderId="34" xfId="1" applyFont="1" applyBorder="1"/>
    <xf numFmtId="0" fontId="3" fillId="3" borderId="10" xfId="0" applyFont="1" applyFill="1" applyBorder="1" applyAlignment="1">
      <alignment horizontal="center"/>
    </xf>
    <xf numFmtId="44" fontId="25" fillId="12" borderId="54" xfId="2" applyFont="1" applyFill="1" applyBorder="1" applyAlignment="1"/>
    <xf numFmtId="44" fontId="25" fillId="12" borderId="11" xfId="2" applyFont="1" applyFill="1" applyBorder="1" applyAlignment="1"/>
    <xf numFmtId="44" fontId="30" fillId="12" borderId="11" xfId="2" applyFont="1" applyFill="1" applyBorder="1" applyAlignment="1"/>
    <xf numFmtId="164" fontId="0" fillId="0" borderId="12" xfId="1" applyFont="1" applyBorder="1"/>
    <xf numFmtId="0" fontId="3" fillId="3" borderId="37" xfId="0" applyFont="1" applyFill="1" applyBorder="1" applyAlignment="1">
      <alignment horizontal="center"/>
    </xf>
    <xf numFmtId="44" fontId="25" fillId="12" borderId="55" xfId="2" applyFont="1" applyFill="1" applyBorder="1" applyAlignment="1"/>
    <xf numFmtId="44" fontId="25" fillId="12" borderId="44" xfId="2" applyFont="1" applyFill="1" applyBorder="1" applyAlignment="1"/>
    <xf numFmtId="44" fontId="30" fillId="12" borderId="44" xfId="2" applyFont="1" applyFill="1" applyBorder="1" applyAlignment="1"/>
    <xf numFmtId="0" fontId="3" fillId="0" borderId="4" xfId="0" applyFont="1" applyBorder="1"/>
    <xf numFmtId="3" fontId="3" fillId="0" borderId="47" xfId="0" applyNumberFormat="1" applyFont="1" applyBorder="1" applyAlignment="1">
      <alignment horizontal="center"/>
    </xf>
    <xf numFmtId="44" fontId="24" fillId="0" borderId="5" xfId="2" applyFont="1" applyFill="1" applyBorder="1" applyAlignment="1"/>
    <xf numFmtId="44" fontId="23" fillId="0" borderId="5" xfId="2" applyFont="1" applyFill="1" applyBorder="1" applyAlignment="1"/>
    <xf numFmtId="44" fontId="3" fillId="0" borderId="19" xfId="2" applyFont="1" applyFill="1" applyBorder="1" applyAlignment="1"/>
    <xf numFmtId="164" fontId="0" fillId="0" borderId="5" xfId="1" applyFont="1" applyBorder="1"/>
    <xf numFmtId="0" fontId="1" fillId="0" borderId="0" xfId="0" applyFont="1"/>
    <xf numFmtId="14" fontId="1" fillId="0" borderId="0" xfId="0" applyNumberFormat="1" applyFont="1"/>
    <xf numFmtId="44" fontId="1" fillId="2" borderId="12" xfId="2" applyFont="1" applyFill="1" applyBorder="1"/>
    <xf numFmtId="44" fontId="1" fillId="0" borderId="6" xfId="2" applyFont="1" applyBorder="1"/>
    <xf numFmtId="49" fontId="1" fillId="0" borderId="12" xfId="2" applyNumberFormat="1" applyFont="1" applyBorder="1" applyAlignment="1">
      <alignment horizontal="left"/>
    </xf>
    <xf numFmtId="44" fontId="1" fillId="15" borderId="49" xfId="2" applyFont="1" applyFill="1" applyBorder="1" applyAlignment="1">
      <alignment vertical="center" wrapText="1"/>
    </xf>
    <xf numFmtId="44" fontId="1" fillId="15" borderId="20" xfId="2" applyFont="1" applyFill="1" applyBorder="1" applyAlignment="1">
      <alignment horizontal="center" vertical="center"/>
    </xf>
    <xf numFmtId="44" fontId="1" fillId="15" borderId="13" xfId="2" applyFont="1" applyFill="1" applyBorder="1" applyAlignment="1">
      <alignment vertical="center"/>
    </xf>
    <xf numFmtId="164" fontId="1" fillId="15" borderId="24" xfId="2" applyNumberFormat="1" applyFont="1" applyFill="1" applyBorder="1" applyAlignment="1">
      <alignment horizontal="center" vertical="center"/>
    </xf>
    <xf numFmtId="49" fontId="1" fillId="15" borderId="12" xfId="2" applyNumberFormat="1" applyFont="1" applyFill="1" applyBorder="1" applyAlignment="1">
      <alignment vertical="center"/>
    </xf>
    <xf numFmtId="49" fontId="1" fillId="4" borderId="2" xfId="2" applyNumberFormat="1" applyFont="1" applyFill="1" applyBorder="1"/>
    <xf numFmtId="44" fontId="1" fillId="4" borderId="24" xfId="2" applyFont="1" applyFill="1" applyBorder="1"/>
    <xf numFmtId="44" fontId="1" fillId="4" borderId="12" xfId="2" applyFont="1" applyFill="1" applyBorder="1"/>
    <xf numFmtId="164" fontId="1" fillId="4" borderId="20" xfId="1" applyFont="1" applyFill="1" applyBorder="1" applyAlignment="1">
      <alignment horizontal="center"/>
    </xf>
    <xf numFmtId="49" fontId="1" fillId="4" borderId="12" xfId="0" applyNumberFormat="1" applyFont="1" applyFill="1" applyBorder="1"/>
    <xf numFmtId="49" fontId="1" fillId="5" borderId="6" xfId="2" applyNumberFormat="1" applyFont="1" applyFill="1" applyBorder="1"/>
    <xf numFmtId="44" fontId="1" fillId="5" borderId="20" xfId="2" applyFont="1" applyFill="1" applyBorder="1" applyAlignment="1">
      <alignment horizontal="center"/>
    </xf>
    <xf numFmtId="44" fontId="1" fillId="5" borderId="12" xfId="2" applyFont="1" applyFill="1" applyBorder="1"/>
    <xf numFmtId="164" fontId="1" fillId="5" borderId="20" xfId="1" applyFont="1" applyFill="1" applyBorder="1" applyAlignment="1">
      <alignment horizontal="center"/>
    </xf>
    <xf numFmtId="49" fontId="1" fillId="5" borderId="12" xfId="0" applyNumberFormat="1" applyFont="1" applyFill="1" applyBorder="1"/>
    <xf numFmtId="44" fontId="1" fillId="9" borderId="24" xfId="2" applyFont="1" applyFill="1" applyBorder="1"/>
    <xf numFmtId="44" fontId="1" fillId="9" borderId="12" xfId="2" applyFont="1" applyFill="1" applyBorder="1"/>
    <xf numFmtId="164" fontId="1" fillId="9" borderId="3" xfId="1" applyFont="1" applyFill="1" applyBorder="1"/>
    <xf numFmtId="49" fontId="1" fillId="9" borderId="12" xfId="2" applyNumberFormat="1" applyFont="1" applyFill="1" applyBorder="1"/>
    <xf numFmtId="49" fontId="1" fillId="13" borderId="9" xfId="2" applyNumberFormat="1" applyFont="1" applyFill="1" applyBorder="1" applyAlignment="1">
      <alignment vertical="center" wrapText="1"/>
    </xf>
    <xf numFmtId="49" fontId="1" fillId="13" borderId="2" xfId="2" applyNumberFormat="1" applyFont="1" applyFill="1" applyBorder="1" applyAlignment="1">
      <alignment vertical="center" wrapText="1"/>
    </xf>
    <xf numFmtId="49" fontId="1" fillId="13" borderId="38" xfId="2" applyNumberFormat="1" applyFont="1" applyFill="1" applyBorder="1" applyAlignment="1">
      <alignment vertical="center"/>
    </xf>
    <xf numFmtId="49" fontId="1" fillId="14" borderId="39" xfId="2" applyNumberFormat="1" applyFont="1" applyFill="1" applyBorder="1" applyAlignment="1">
      <alignment wrapText="1"/>
    </xf>
    <xf numFmtId="44" fontId="1" fillId="14" borderId="39" xfId="2" applyFont="1" applyFill="1" applyBorder="1"/>
    <xf numFmtId="49" fontId="1" fillId="14" borderId="22" xfId="2" applyNumberFormat="1" applyFont="1" applyFill="1" applyBorder="1" applyAlignment="1">
      <alignment horizontal="left" vertical="center"/>
    </xf>
    <xf numFmtId="164" fontId="1" fillId="14" borderId="22" xfId="2" applyNumberFormat="1" applyFont="1" applyFill="1" applyBorder="1" applyAlignment="1">
      <alignment horizontal="center" vertical="center"/>
    </xf>
    <xf numFmtId="49" fontId="1" fillId="14" borderId="41" xfId="2" applyNumberFormat="1" applyFont="1" applyFill="1" applyBorder="1" applyAlignment="1">
      <alignment vertical="center"/>
    </xf>
    <xf numFmtId="49" fontId="1" fillId="16" borderId="39" xfId="2" applyNumberFormat="1" applyFont="1" applyFill="1" applyBorder="1" applyAlignment="1">
      <alignment wrapText="1"/>
    </xf>
    <xf numFmtId="44" fontId="1" fillId="16" borderId="39" xfId="2" applyFont="1" applyFill="1" applyBorder="1"/>
    <xf numFmtId="49" fontId="1" fillId="16" borderId="3" xfId="2" applyNumberFormat="1" applyFont="1" applyFill="1" applyBorder="1" applyAlignment="1">
      <alignment horizontal="left" vertical="center" wrapText="1"/>
    </xf>
    <xf numFmtId="164" fontId="1" fillId="16" borderId="3" xfId="2" applyNumberFormat="1" applyFont="1" applyFill="1" applyBorder="1" applyAlignment="1">
      <alignment horizontal="center" vertical="center"/>
    </xf>
    <xf numFmtId="49" fontId="1" fillId="16" borderId="3" xfId="2" applyNumberFormat="1" applyFont="1" applyFill="1" applyBorder="1" applyAlignment="1">
      <alignment vertical="center"/>
    </xf>
    <xf numFmtId="49" fontId="1" fillId="16" borderId="3" xfId="2" applyNumberFormat="1" applyFont="1" applyFill="1" applyBorder="1" applyAlignment="1">
      <alignment horizontal="left" vertical="center"/>
    </xf>
    <xf numFmtId="49" fontId="1" fillId="10" borderId="3" xfId="2" applyNumberFormat="1" applyFont="1" applyFill="1" applyBorder="1" applyAlignment="1">
      <alignment wrapText="1"/>
    </xf>
    <xf numFmtId="44" fontId="1" fillId="10" borderId="3" xfId="2" applyFont="1" applyFill="1" applyBorder="1"/>
    <xf numFmtId="164" fontId="1" fillId="10" borderId="3" xfId="2" applyNumberFormat="1" applyFont="1" applyFill="1" applyBorder="1" applyAlignment="1">
      <alignment horizontal="center" vertical="center"/>
    </xf>
    <xf numFmtId="49" fontId="1" fillId="10" borderId="3" xfId="2" applyNumberFormat="1" applyFont="1" applyFill="1" applyBorder="1" applyAlignment="1">
      <alignment horizontal="left" vertical="center"/>
    </xf>
    <xf numFmtId="44" fontId="1" fillId="0" borderId="0" xfId="2" applyFont="1"/>
    <xf numFmtId="44" fontId="1" fillId="0" borderId="10" xfId="2" applyFont="1" applyBorder="1"/>
    <xf numFmtId="0" fontId="1" fillId="0" borderId="11" xfId="0" applyFont="1" applyBorder="1"/>
    <xf numFmtId="1" fontId="1" fillId="0" borderId="2" xfId="0" applyNumberFormat="1" applyFont="1" applyBorder="1" applyAlignment="1">
      <alignment wrapText="1"/>
    </xf>
    <xf numFmtId="44" fontId="1" fillId="11" borderId="3" xfId="2" applyFont="1" applyFill="1" applyBorder="1"/>
    <xf numFmtId="1" fontId="1" fillId="0" borderId="2" xfId="0" applyNumberFormat="1" applyFont="1" applyBorder="1"/>
    <xf numFmtId="44" fontId="1" fillId="11" borderId="37" xfId="2" applyFont="1" applyFill="1" applyBorder="1"/>
    <xf numFmtId="1" fontId="1" fillId="0" borderId="0" xfId="0" applyNumberFormat="1" applyFont="1"/>
    <xf numFmtId="44" fontId="1" fillId="2" borderId="0" xfId="2" applyFont="1" applyFill="1" applyBorder="1"/>
    <xf numFmtId="164" fontId="1" fillId="4" borderId="16" xfId="1" applyFont="1" applyFill="1" applyBorder="1"/>
    <xf numFmtId="164" fontId="1" fillId="4" borderId="17" xfId="1" applyFont="1" applyFill="1" applyBorder="1"/>
    <xf numFmtId="164" fontId="1" fillId="4" borderId="29" xfId="1" applyFont="1" applyFill="1" applyBorder="1"/>
    <xf numFmtId="164" fontId="1" fillId="3" borderId="46" xfId="0" applyNumberFormat="1" applyFont="1" applyFill="1" applyBorder="1"/>
    <xf numFmtId="164" fontId="1" fillId="2" borderId="21" xfId="0" applyNumberFormat="1" applyFont="1" applyFill="1" applyBorder="1" applyAlignment="1">
      <alignment horizontal="center"/>
    </xf>
    <xf numFmtId="164" fontId="1" fillId="2" borderId="46" xfId="0" applyNumberFormat="1" applyFont="1" applyFill="1" applyBorder="1"/>
    <xf numFmtId="164" fontId="1" fillId="3" borderId="21" xfId="0" applyNumberFormat="1" applyFont="1" applyFill="1" applyBorder="1" applyAlignment="1">
      <alignment horizontal="center"/>
    </xf>
    <xf numFmtId="164" fontId="1" fillId="0" borderId="0" xfId="1" applyFont="1"/>
    <xf numFmtId="164" fontId="1" fillId="0" borderId="0" xfId="1" applyFont="1" applyBorder="1"/>
    <xf numFmtId="164" fontId="1" fillId="3" borderId="3" xfId="1" applyFont="1" applyFill="1" applyBorder="1"/>
    <xf numFmtId="164" fontId="1" fillId="2" borderId="3" xfId="1" applyFont="1" applyFill="1" applyBorder="1"/>
    <xf numFmtId="0" fontId="1" fillId="0" borderId="0" xfId="0" applyFont="1" applyAlignment="1">
      <alignment wrapText="1"/>
    </xf>
    <xf numFmtId="164" fontId="1" fillId="2" borderId="10" xfId="1" applyFont="1" applyFill="1" applyBorder="1" applyAlignment="1">
      <alignment horizontal="center" wrapText="1"/>
    </xf>
    <xf numFmtId="164" fontId="1" fillId="8" borderId="27" xfId="1" applyFont="1" applyFill="1" applyBorder="1" applyAlignment="1">
      <alignment horizontal="center" wrapText="1"/>
    </xf>
    <xf numFmtId="164" fontId="1" fillId="2" borderId="27" xfId="1" applyFont="1" applyFill="1" applyBorder="1" applyAlignment="1">
      <alignment horizontal="center" wrapText="1"/>
    </xf>
    <xf numFmtId="164" fontId="1" fillId="6" borderId="3" xfId="1" applyFont="1" applyFill="1" applyBorder="1"/>
    <xf numFmtId="164" fontId="1" fillId="6" borderId="24" xfId="1" applyFont="1" applyFill="1" applyBorder="1"/>
    <xf numFmtId="164" fontId="1" fillId="7" borderId="3" xfId="1" applyFont="1" applyFill="1" applyBorder="1"/>
    <xf numFmtId="164" fontId="1" fillId="7" borderId="24" xfId="1" applyFont="1" applyFill="1" applyBorder="1"/>
    <xf numFmtId="164" fontId="1" fillId="2" borderId="24" xfId="1" applyFont="1" applyFill="1" applyBorder="1"/>
    <xf numFmtId="164" fontId="1" fillId="2" borderId="14" xfId="1" applyFont="1" applyFill="1" applyBorder="1"/>
    <xf numFmtId="164" fontId="1" fillId="2" borderId="20" xfId="1" applyFont="1" applyFill="1" applyBorder="1"/>
    <xf numFmtId="164" fontId="1" fillId="2" borderId="8" xfId="1" applyFont="1" applyFill="1" applyBorder="1"/>
    <xf numFmtId="164" fontId="1" fillId="2" borderId="19" xfId="1" applyFont="1" applyFill="1" applyBorder="1"/>
    <xf numFmtId="0" fontId="1" fillId="2" borderId="0" xfId="0" applyFont="1" applyFill="1"/>
    <xf numFmtId="0" fontId="1" fillId="12" borderId="15" xfId="0" applyFont="1" applyFill="1" applyBorder="1"/>
    <xf numFmtId="44" fontId="1" fillId="12" borderId="18" xfId="2" applyFont="1" applyFill="1" applyBorder="1" applyAlignment="1"/>
    <xf numFmtId="0" fontId="1" fillId="2" borderId="15" xfId="0" applyFont="1" applyFill="1" applyBorder="1"/>
    <xf numFmtId="0" fontId="1" fillId="8" borderId="2" xfId="0" applyFont="1" applyFill="1" applyBorder="1"/>
    <xf numFmtId="44" fontId="1" fillId="8" borderId="24" xfId="2" applyFont="1" applyFill="1" applyBorder="1" applyAlignment="1"/>
    <xf numFmtId="0" fontId="1" fillId="2" borderId="2" xfId="0" applyFont="1" applyFill="1" applyBorder="1"/>
    <xf numFmtId="0" fontId="1" fillId="12" borderId="2" xfId="0" applyFont="1" applyFill="1" applyBorder="1"/>
    <xf numFmtId="0" fontId="1" fillId="3" borderId="2" xfId="0" applyFont="1" applyFill="1" applyBorder="1"/>
    <xf numFmtId="44" fontId="1" fillId="3" borderId="18" xfId="2" applyFont="1" applyFill="1" applyBorder="1" applyAlignment="1"/>
    <xf numFmtId="44" fontId="1" fillId="8" borderId="18" xfId="2" applyFont="1" applyFill="1" applyBorder="1" applyAlignment="1"/>
    <xf numFmtId="0" fontId="1" fillId="12" borderId="33" xfId="0" applyFont="1" applyFill="1" applyBorder="1"/>
    <xf numFmtId="0" fontId="1" fillId="2" borderId="33" xfId="0" applyFont="1" applyFill="1" applyBorder="1"/>
    <xf numFmtId="0" fontId="1" fillId="12" borderId="9" xfId="0" applyFont="1" applyFill="1" applyBorder="1"/>
    <xf numFmtId="44" fontId="1" fillId="12" borderId="27" xfId="2" applyFont="1" applyFill="1" applyBorder="1" applyAlignment="1"/>
    <xf numFmtId="44" fontId="1" fillId="12" borderId="51" xfId="2" applyFont="1" applyFill="1" applyBorder="1" applyAlignment="1"/>
    <xf numFmtId="0" fontId="1" fillId="0" borderId="23" xfId="0" applyFont="1" applyBorder="1"/>
    <xf numFmtId="164" fontId="1" fillId="8" borderId="26" xfId="1" applyFont="1" applyFill="1" applyBorder="1"/>
    <xf numFmtId="164" fontId="1" fillId="8" borderId="24" xfId="1" applyFont="1" applyFill="1" applyBorder="1"/>
    <xf numFmtId="164" fontId="1" fillId="2" borderId="26" xfId="1" applyFont="1" applyFill="1" applyBorder="1"/>
    <xf numFmtId="164" fontId="1" fillId="3" borderId="26" xfId="1" applyFont="1" applyFill="1" applyBorder="1"/>
    <xf numFmtId="164" fontId="1" fillId="3" borderId="24" xfId="1" applyFont="1" applyFill="1" applyBorder="1"/>
    <xf numFmtId="0" fontId="1" fillId="8" borderId="1" xfId="0" applyFont="1" applyFill="1" applyBorder="1" applyAlignment="1">
      <alignment wrapText="1"/>
    </xf>
    <xf numFmtId="0" fontId="1" fillId="8" borderId="1" xfId="0" applyFont="1" applyFill="1" applyBorder="1" applyAlignment="1">
      <alignment horizontal="center" vertical="center" wrapText="1"/>
    </xf>
    <xf numFmtId="0" fontId="1" fillId="0" borderId="0" xfId="0" applyFont="1" applyAlignment="1">
      <alignment horizontal="center" vertical="center"/>
    </xf>
    <xf numFmtId="165" fontId="1" fillId="3" borderId="3" xfId="1" applyNumberFormat="1" applyFont="1" applyFill="1" applyBorder="1" applyAlignment="1">
      <alignment vertical="center"/>
    </xf>
    <xf numFmtId="165" fontId="1" fillId="2" borderId="3" xfId="1" applyNumberFormat="1" applyFont="1" applyFill="1" applyBorder="1" applyAlignment="1">
      <alignment vertical="center"/>
    </xf>
    <xf numFmtId="0" fontId="1" fillId="2" borderId="10" xfId="0" applyFont="1" applyFill="1" applyBorder="1" applyAlignment="1">
      <alignment horizontal="center"/>
    </xf>
    <xf numFmtId="0" fontId="1" fillId="2" borderId="7" xfId="0" applyFont="1" applyFill="1" applyBorder="1"/>
    <xf numFmtId="0" fontId="1" fillId="2" borderId="10" xfId="0" applyFont="1" applyFill="1" applyBorder="1" applyAlignment="1">
      <alignment horizontal="center" wrapText="1"/>
    </xf>
    <xf numFmtId="0" fontId="1" fillId="0" borderId="0" xfId="0" applyFont="1" applyAlignment="1">
      <alignment horizontal="left" wrapText="1"/>
    </xf>
    <xf numFmtId="0" fontId="1" fillId="2" borderId="10" xfId="0" applyFont="1" applyFill="1" applyBorder="1" applyAlignment="1">
      <alignment horizontal="center" vertical="center" wrapText="1"/>
    </xf>
    <xf numFmtId="14" fontId="1" fillId="2" borderId="0" xfId="0" applyNumberFormat="1" applyFont="1" applyFill="1"/>
    <xf numFmtId="165" fontId="1" fillId="3" borderId="3" xfId="1" applyNumberFormat="1" applyFont="1" applyFill="1" applyBorder="1" applyAlignment="1">
      <alignment horizontal="center" vertical="center"/>
    </xf>
    <xf numFmtId="165" fontId="1" fillId="2" borderId="3" xfId="1" applyNumberFormat="1" applyFont="1" applyFill="1" applyBorder="1" applyAlignment="1">
      <alignment horizontal="center" vertical="center"/>
    </xf>
    <xf numFmtId="164" fontId="1" fillId="3" borderId="3" xfId="1" applyFont="1" applyFill="1" applyBorder="1" applyAlignment="1">
      <alignment vertical="center"/>
    </xf>
    <xf numFmtId="164" fontId="1" fillId="2" borderId="3" xfId="1" applyFont="1" applyFill="1" applyBorder="1" applyAlignment="1">
      <alignment vertical="center"/>
    </xf>
    <xf numFmtId="164" fontId="24" fillId="0" borderId="0" xfId="1" applyFont="1" applyFill="1" applyBorder="1" applyAlignment="1">
      <alignment horizontal="center" vertical="center" wrapText="1"/>
    </xf>
    <xf numFmtId="164" fontId="32" fillId="0" borderId="0" xfId="1" applyFont="1" applyBorder="1"/>
    <xf numFmtId="164" fontId="28" fillId="0" borderId="0" xfId="1" applyFont="1" applyBorder="1"/>
    <xf numFmtId="164" fontId="3" fillId="0" borderId="3" xfId="1" applyFont="1" applyBorder="1"/>
    <xf numFmtId="164" fontId="3" fillId="0" borderId="0" xfId="1" applyFont="1" applyBorder="1"/>
    <xf numFmtId="167" fontId="28" fillId="14" borderId="3" xfId="1" applyNumberFormat="1" applyFont="1" applyFill="1" applyBorder="1" applyAlignment="1">
      <alignment horizontal="center" vertical="center"/>
    </xf>
    <xf numFmtId="164" fontId="0" fillId="0" borderId="0" xfId="1" applyFont="1" applyBorder="1" applyAlignment="1">
      <alignment horizontal="center" wrapText="1"/>
    </xf>
    <xf numFmtId="164" fontId="0" fillId="0" borderId="0" xfId="1" applyFont="1" applyBorder="1" applyAlignment="1">
      <alignment horizontal="center"/>
    </xf>
    <xf numFmtId="164" fontId="0" fillId="14" borderId="3" xfId="1" applyFont="1" applyFill="1" applyBorder="1" applyAlignment="1">
      <alignment horizontal="center"/>
    </xf>
    <xf numFmtId="164" fontId="0" fillId="10" borderId="3" xfId="1" applyFont="1" applyFill="1" applyBorder="1" applyAlignment="1">
      <alignment horizontal="center"/>
    </xf>
    <xf numFmtId="167" fontId="28" fillId="10" borderId="3" xfId="1" applyNumberFormat="1" applyFont="1" applyFill="1" applyBorder="1" applyAlignment="1">
      <alignment horizontal="center" vertical="center"/>
    </xf>
    <xf numFmtId="164" fontId="32" fillId="14" borderId="56" xfId="1" applyFont="1" applyFill="1" applyBorder="1"/>
    <xf numFmtId="164" fontId="1" fillId="14" borderId="3" xfId="1" applyFont="1" applyFill="1" applyBorder="1" applyAlignment="1">
      <alignment horizontal="center" vertical="center"/>
    </xf>
    <xf numFmtId="164" fontId="1" fillId="14" borderId="22" xfId="1" applyFont="1" applyFill="1" applyBorder="1" applyAlignment="1">
      <alignment horizontal="center"/>
    </xf>
    <xf numFmtId="164" fontId="1" fillId="10" borderId="3" xfId="1" applyFont="1" applyFill="1" applyBorder="1" applyAlignment="1">
      <alignment horizontal="center" vertical="center"/>
    </xf>
    <xf numFmtId="0" fontId="0" fillId="10" borderId="3" xfId="0" applyFill="1" applyBorder="1"/>
    <xf numFmtId="165" fontId="32" fillId="14" borderId="57" xfId="1" applyNumberFormat="1" applyFont="1" applyFill="1" applyBorder="1"/>
    <xf numFmtId="168" fontId="32" fillId="10" borderId="58" xfId="0" applyNumberFormat="1" applyFont="1" applyFill="1" applyBorder="1"/>
    <xf numFmtId="168" fontId="32" fillId="10" borderId="59" xfId="0" applyNumberFormat="1" applyFont="1" applyFill="1" applyBorder="1"/>
    <xf numFmtId="168" fontId="28" fillId="10" borderId="59" xfId="0" applyNumberFormat="1" applyFont="1" applyFill="1" applyBorder="1"/>
    <xf numFmtId="165" fontId="32" fillId="14" borderId="56" xfId="1" applyNumberFormat="1" applyFont="1" applyFill="1" applyBorder="1"/>
    <xf numFmtId="165" fontId="28" fillId="14" borderId="56" xfId="1" applyNumberFormat="1" applyFont="1" applyFill="1" applyBorder="1"/>
    <xf numFmtId="165" fontId="33" fillId="14" borderId="56" xfId="1" applyNumberFormat="1" applyFont="1" applyFill="1" applyBorder="1"/>
    <xf numFmtId="168" fontId="0" fillId="14" borderId="3" xfId="1" applyNumberFormat="1" applyFont="1" applyFill="1" applyBorder="1"/>
    <xf numFmtId="168" fontId="3" fillId="14" borderId="3" xfId="1" applyNumberFormat="1" applyFont="1" applyFill="1" applyBorder="1"/>
    <xf numFmtId="168" fontId="0" fillId="10" borderId="3" xfId="1" applyNumberFormat="1" applyFont="1" applyFill="1" applyBorder="1"/>
    <xf numFmtId="168" fontId="3" fillId="10" borderId="3" xfId="1" applyNumberFormat="1" applyFont="1" applyFill="1" applyBorder="1"/>
    <xf numFmtId="0" fontId="31" fillId="0" borderId="0" xfId="0" applyFont="1" applyAlignment="1">
      <alignment horizontal="center" wrapText="1"/>
    </xf>
    <xf numFmtId="0" fontId="0" fillId="0" borderId="0" xfId="0" applyAlignment="1"/>
    <xf numFmtId="49" fontId="3" fillId="3" borderId="40" xfId="2" applyNumberFormat="1" applyFont="1" applyFill="1" applyBorder="1" applyAlignment="1">
      <alignment horizontal="center" vertical="center"/>
    </xf>
    <xf numFmtId="49" fontId="3" fillId="3" borderId="31" xfId="2" applyNumberFormat="1" applyFont="1" applyFill="1" applyBorder="1" applyAlignment="1">
      <alignment horizontal="center" vertical="center"/>
    </xf>
    <xf numFmtId="49" fontId="3" fillId="3" borderId="15" xfId="2" applyNumberFormat="1" applyFont="1" applyFill="1" applyBorder="1" applyAlignment="1">
      <alignment horizontal="center" vertical="center"/>
    </xf>
    <xf numFmtId="44" fontId="3" fillId="3" borderId="40" xfId="2" applyFont="1" applyFill="1" applyBorder="1" applyAlignment="1">
      <alignment horizontal="center" vertical="center"/>
    </xf>
    <xf numFmtId="44" fontId="3" fillId="3" borderId="31" xfId="2" applyFont="1" applyFill="1" applyBorder="1" applyAlignment="1">
      <alignment horizontal="center" vertical="center"/>
    </xf>
    <xf numFmtId="44" fontId="3" fillId="3" borderId="15" xfId="2" applyFont="1" applyFill="1" applyBorder="1" applyAlignment="1">
      <alignment horizontal="center" vertical="center"/>
    </xf>
    <xf numFmtId="44" fontId="1" fillId="3" borderId="42" xfId="2" applyFont="1" applyFill="1" applyBorder="1" applyAlignment="1">
      <alignment horizontal="center" vertical="center"/>
    </xf>
    <xf numFmtId="44" fontId="1" fillId="3" borderId="32" xfId="2" applyFont="1" applyFill="1" applyBorder="1" applyAlignment="1">
      <alignment horizontal="center" vertical="center"/>
    </xf>
    <xf numFmtId="44" fontId="1" fillId="3" borderId="35" xfId="2" applyFont="1" applyFill="1" applyBorder="1" applyAlignment="1">
      <alignment horizontal="center" vertical="center"/>
    </xf>
    <xf numFmtId="49" fontId="1" fillId="13" borderId="42" xfId="2" applyNumberFormat="1" applyFont="1" applyFill="1" applyBorder="1" applyAlignment="1">
      <alignment horizontal="center" vertical="center"/>
    </xf>
    <xf numFmtId="49" fontId="1" fillId="13" borderId="32" xfId="2" applyNumberFormat="1" applyFont="1" applyFill="1" applyBorder="1" applyAlignment="1">
      <alignment horizontal="center" vertical="center"/>
    </xf>
    <xf numFmtId="49" fontId="1" fillId="13" borderId="44" xfId="2" applyNumberFormat="1" applyFont="1" applyFill="1" applyBorder="1" applyAlignment="1">
      <alignment horizontal="center" vertical="center"/>
    </xf>
    <xf numFmtId="49" fontId="1" fillId="13" borderId="6" xfId="2" applyNumberFormat="1" applyFont="1" applyFill="1" applyBorder="1" applyAlignment="1">
      <alignment horizontal="left" vertical="center" wrapText="1"/>
    </xf>
    <xf numFmtId="49" fontId="1" fillId="13" borderId="31" xfId="2" applyNumberFormat="1" applyFont="1" applyFill="1" applyBorder="1" applyAlignment="1">
      <alignment horizontal="left" vertical="center" wrapText="1"/>
    </xf>
    <xf numFmtId="49" fontId="1" fillId="13" borderId="38" xfId="2" applyNumberFormat="1" applyFont="1" applyFill="1" applyBorder="1" applyAlignment="1">
      <alignment horizontal="left" vertical="center" wrapText="1"/>
    </xf>
    <xf numFmtId="44" fontId="1" fillId="13" borderId="6" xfId="2" applyFont="1" applyFill="1" applyBorder="1" applyAlignment="1">
      <alignment horizontal="right" vertical="center" wrapText="1"/>
    </xf>
    <xf numFmtId="44" fontId="1" fillId="13" borderId="31" xfId="2" applyFont="1" applyFill="1" applyBorder="1" applyAlignment="1">
      <alignment horizontal="right" vertical="center" wrapText="1"/>
    </xf>
    <xf numFmtId="44" fontId="1" fillId="13" borderId="38" xfId="2" applyFont="1" applyFill="1" applyBorder="1" applyAlignment="1">
      <alignment horizontal="right" vertical="center" wrapText="1"/>
    </xf>
    <xf numFmtId="0" fontId="3" fillId="0" borderId="0" xfId="0" applyFont="1" applyAlignment="1">
      <alignment horizontal="center"/>
    </xf>
    <xf numFmtId="14" fontId="26" fillId="0" borderId="0" xfId="0" applyNumberFormat="1" applyFont="1" applyAlignment="1">
      <alignment horizontal="left" vertical="center"/>
    </xf>
    <xf numFmtId="0" fontId="26" fillId="0" borderId="0" xfId="0" applyFont="1" applyAlignment="1">
      <alignment horizontal="left" vertical="center"/>
    </xf>
    <xf numFmtId="0" fontId="1" fillId="8" borderId="0" xfId="0" applyFont="1" applyFill="1" applyAlignment="1">
      <alignment horizontal="left"/>
    </xf>
    <xf numFmtId="0" fontId="4" fillId="2" borderId="0" xfId="0" applyFont="1" applyFill="1" applyAlignment="1">
      <alignment horizontal="center" wrapText="1"/>
    </xf>
    <xf numFmtId="0" fontId="1" fillId="8" borderId="0" xfId="0" applyFont="1" applyFill="1" applyAlignment="1">
      <alignment horizontal="left" wrapText="1"/>
    </xf>
    <xf numFmtId="0" fontId="0" fillId="8" borderId="0" xfId="0" applyFill="1" applyAlignment="1">
      <alignment horizontal="left" wrapText="1"/>
    </xf>
    <xf numFmtId="0" fontId="1" fillId="0" borderId="0" xfId="0" applyFont="1" applyAlignment="1">
      <alignment horizontal="left" vertical="top" wrapText="1"/>
    </xf>
    <xf numFmtId="164" fontId="0" fillId="0" borderId="24" xfId="1" applyFont="1" applyBorder="1" applyAlignment="1">
      <alignment horizontal="center"/>
    </xf>
    <xf numFmtId="164" fontId="0" fillId="0" borderId="28" xfId="1" applyFont="1" applyBorder="1" applyAlignment="1">
      <alignment horizontal="center"/>
    </xf>
    <xf numFmtId="164" fontId="0" fillId="0" borderId="26" xfId="1" applyFont="1" applyBorder="1" applyAlignment="1">
      <alignment horizontal="center"/>
    </xf>
    <xf numFmtId="0" fontId="1" fillId="0" borderId="0" xfId="0" applyFont="1" applyAlignment="1"/>
    <xf numFmtId="14" fontId="26" fillId="0" borderId="0" xfId="0" applyNumberFormat="1" applyFont="1" applyAlignment="1">
      <alignment horizontal="left" vertical="center" wrapText="1"/>
    </xf>
    <xf numFmtId="0" fontId="26" fillId="0" borderId="0" xfId="0" applyFont="1" applyAlignment="1">
      <alignment horizontal="left" vertical="center"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left" wrapText="1"/>
    </xf>
    <xf numFmtId="0" fontId="28" fillId="0" borderId="0" xfId="0" applyFont="1" applyAlignment="1">
      <alignment horizontal="left" wrapText="1"/>
    </xf>
  </cellXfs>
  <cellStyles count="6">
    <cellStyle name="Čárka" xfId="1" builtinId="3"/>
    <cellStyle name="Měna" xfId="2" builtinId="4"/>
    <cellStyle name="Normální" xfId="0" builtinId="0"/>
    <cellStyle name="Normální 2" xfId="3" xr:uid="{00000000-0005-0000-0000-000003000000}"/>
    <cellStyle name="normální_List1" xfId="4" xr:uid="{00000000-0005-0000-0000-000004000000}"/>
    <cellStyle name="Procenta"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9525</xdr:rowOff>
    </xdr:from>
    <xdr:to>
      <xdr:col>0</xdr:col>
      <xdr:colOff>1143000</xdr:colOff>
      <xdr:row>0</xdr:row>
      <xdr:rowOff>771525</xdr:rowOff>
    </xdr:to>
    <xdr:pic>
      <xdr:nvPicPr>
        <xdr:cNvPr id="53462" name="Picture 2" descr="logo_Frydlantsko_cb">
          <a:extLst>
            <a:ext uri="{FF2B5EF4-FFF2-40B4-BE49-F238E27FC236}">
              <a16:creationId xmlns:a16="http://schemas.microsoft.com/office/drawing/2014/main" id="{7D5FB538-957D-32C4-839F-6C5B92CEB7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9525"/>
          <a:ext cx="10572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180975</xdr:rowOff>
    </xdr:from>
    <xdr:to>
      <xdr:col>0</xdr:col>
      <xdr:colOff>1257300</xdr:colOff>
      <xdr:row>0</xdr:row>
      <xdr:rowOff>942975</xdr:rowOff>
    </xdr:to>
    <xdr:pic>
      <xdr:nvPicPr>
        <xdr:cNvPr id="49457" name="Picture 2" descr="logo_Frydlantsko_cb">
          <a:extLst>
            <a:ext uri="{FF2B5EF4-FFF2-40B4-BE49-F238E27FC236}">
              <a16:creationId xmlns:a16="http://schemas.microsoft.com/office/drawing/2014/main" id="{65A44118-8BFA-B644-4E60-475D1D2C39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80975"/>
          <a:ext cx="10572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OF/DSO/SOCI&#193;LN&#205;%20SLU&#381;BY/dota&#269;n&#237;%20program%202020/dotace%20na%20dota&#269;n&#237;%20program%20%20-%20soc.slu&#382;by%202020%20z%20D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tace bez Bul., Rasp."/>
      <sheetName val="dotace bez Bulov."/>
      <sheetName val="přepočet na obce"/>
    </sheetNames>
    <sheetDataSet>
      <sheetData sheetId="0" refreshError="1"/>
      <sheetData sheetId="1" refreshError="1"/>
      <sheetData sheetId="2" refreshError="1">
        <row r="15">
          <cell r="B15">
            <v>655</v>
          </cell>
        </row>
        <row r="29">
          <cell r="B29">
            <v>9507</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workbookViewId="0">
      <selection activeCell="A8" sqref="A8"/>
    </sheetView>
  </sheetViews>
  <sheetFormatPr defaultRowHeight="12.75" x14ac:dyDescent="0.2"/>
  <sheetData>
    <row r="1" spans="1:1" x14ac:dyDescent="0.2">
      <c r="A1" t="s">
        <v>0</v>
      </c>
    </row>
    <row r="2" spans="1:1" x14ac:dyDescent="0.2">
      <c r="A2" t="s">
        <v>1</v>
      </c>
    </row>
    <row r="4" spans="1:1" x14ac:dyDescent="0.2">
      <c r="A4" t="s">
        <v>2</v>
      </c>
    </row>
    <row r="6" spans="1:1" x14ac:dyDescent="0.2">
      <c r="A6" t="s">
        <v>3</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I54"/>
  <sheetViews>
    <sheetView workbookViewId="0">
      <selection activeCell="E1" sqref="E1:E1048576"/>
    </sheetView>
  </sheetViews>
  <sheetFormatPr defaultRowHeight="12.75" x14ac:dyDescent="0.2"/>
  <cols>
    <col min="2" max="2" width="24.5703125" customWidth="1"/>
    <col min="3" max="3" width="15.28515625" customWidth="1"/>
    <col min="4" max="4" width="14.140625" customWidth="1"/>
    <col min="5" max="5" width="15.140625" hidden="1" customWidth="1"/>
    <col min="6" max="6" width="16.28515625" style="1" customWidth="1"/>
    <col min="7" max="7" width="17.28515625" customWidth="1"/>
    <col min="8" max="8" width="18.28515625" customWidth="1"/>
    <col min="9" max="9" width="13" customWidth="1"/>
    <col min="12" max="12" width="9.140625" customWidth="1"/>
  </cols>
  <sheetData>
    <row r="1" spans="1:8" x14ac:dyDescent="0.2">
      <c r="B1" s="5" t="s">
        <v>187</v>
      </c>
      <c r="C1" s="5"/>
      <c r="F1" s="4"/>
    </row>
    <row r="2" spans="1:8" ht="13.5" thickBot="1" x14ac:dyDescent="0.25">
      <c r="A2" s="59"/>
      <c r="F2" s="342" t="s">
        <v>188</v>
      </c>
    </row>
    <row r="3" spans="1:8" s="180" customFormat="1" ht="38.25" x14ac:dyDescent="0.2">
      <c r="A3" s="176"/>
      <c r="B3" s="177" t="s">
        <v>106</v>
      </c>
      <c r="C3" s="217" t="str">
        <f>'č. 1 čl. přísp.'!D3</f>
        <v>počet obyvatel k 1. 1. 2022 dle MF</v>
      </c>
      <c r="D3" s="177" t="s">
        <v>141</v>
      </c>
      <c r="E3" s="218"/>
      <c r="F3" s="237" t="s">
        <v>189</v>
      </c>
      <c r="H3" s="382"/>
    </row>
    <row r="4" spans="1:8" ht="5.25" customHeight="1" x14ac:dyDescent="0.2">
      <c r="A4" s="46"/>
      <c r="B4" s="47"/>
      <c r="C4" s="75"/>
      <c r="D4" s="47"/>
      <c r="E4" s="155"/>
      <c r="F4" s="48"/>
    </row>
    <row r="5" spans="1:8" x14ac:dyDescent="0.2">
      <c r="A5" s="32">
        <v>1</v>
      </c>
      <c r="B5" s="33" t="s">
        <v>116</v>
      </c>
      <c r="C5" s="383">
        <f>'Sumář všech příspěvků rok 2023'!H29</f>
        <v>691</v>
      </c>
      <c r="D5" s="45">
        <v>9.5</v>
      </c>
      <c r="E5" s="45">
        <f>(SUM(C5*D5))</f>
        <v>6564.5</v>
      </c>
      <c r="F5" s="156">
        <f>ROUND(E5,0)</f>
        <v>6565</v>
      </c>
      <c r="H5" s="55"/>
    </row>
    <row r="6" spans="1:8" x14ac:dyDescent="0.2">
      <c r="A6" s="7">
        <v>2</v>
      </c>
      <c r="B6" s="9" t="s">
        <v>117</v>
      </c>
      <c r="C6" s="384">
        <f>'Sumář všech příspěvků rok 2023'!H30</f>
        <v>945</v>
      </c>
      <c r="D6" s="28">
        <f>D5</f>
        <v>9.5</v>
      </c>
      <c r="E6" s="28">
        <f t="shared" ref="E6:E22" si="0">SUM(C6*D6)</f>
        <v>8977.5</v>
      </c>
      <c r="F6" s="157">
        <f t="shared" ref="F6:F22" si="1">ROUND(E6,0)</f>
        <v>8978</v>
      </c>
      <c r="H6" s="55"/>
    </row>
    <row r="7" spans="1:8" x14ac:dyDescent="0.2">
      <c r="A7" s="32">
        <v>3</v>
      </c>
      <c r="B7" s="33" t="s">
        <v>118</v>
      </c>
      <c r="C7" s="383">
        <f>'Sumář všech příspěvků rok 2023'!H31</f>
        <v>318</v>
      </c>
      <c r="D7" s="45">
        <f t="shared" ref="D7:D22" si="2">D6</f>
        <v>9.5</v>
      </c>
      <c r="E7" s="45">
        <f t="shared" si="0"/>
        <v>3021</v>
      </c>
      <c r="F7" s="156">
        <f t="shared" si="1"/>
        <v>3021</v>
      </c>
      <c r="H7" s="55"/>
    </row>
    <row r="8" spans="1:8" x14ac:dyDescent="0.2">
      <c r="A8" s="7">
        <v>4</v>
      </c>
      <c r="B8" s="9" t="s">
        <v>119</v>
      </c>
      <c r="C8" s="384">
        <f>'Sumář všech příspěvků rok 2023'!H32</f>
        <v>703</v>
      </c>
      <c r="D8" s="28">
        <f t="shared" si="2"/>
        <v>9.5</v>
      </c>
      <c r="E8" s="28">
        <f t="shared" si="0"/>
        <v>6678.5</v>
      </c>
      <c r="F8" s="157">
        <f t="shared" si="1"/>
        <v>6679</v>
      </c>
      <c r="H8" s="55"/>
    </row>
    <row r="9" spans="1:8" x14ac:dyDescent="0.2">
      <c r="A9" s="32">
        <v>5</v>
      </c>
      <c r="B9" s="33" t="s">
        <v>120</v>
      </c>
      <c r="C9" s="383">
        <f>'Sumář všech příspěvků rok 2023'!H33</f>
        <v>558</v>
      </c>
      <c r="D9" s="45">
        <f t="shared" si="2"/>
        <v>9.5</v>
      </c>
      <c r="E9" s="45">
        <f t="shared" si="0"/>
        <v>5301</v>
      </c>
      <c r="F9" s="156">
        <f t="shared" si="1"/>
        <v>5301</v>
      </c>
      <c r="H9" s="55"/>
    </row>
    <row r="10" spans="1:8" x14ac:dyDescent="0.2">
      <c r="A10" s="7">
        <v>6</v>
      </c>
      <c r="B10" s="9" t="s">
        <v>121</v>
      </c>
      <c r="C10" s="384">
        <f>'Sumář všech příspěvků rok 2023'!H34</f>
        <v>7301</v>
      </c>
      <c r="D10" s="28">
        <f t="shared" si="2"/>
        <v>9.5</v>
      </c>
      <c r="E10" s="28">
        <f t="shared" si="0"/>
        <v>69359.5</v>
      </c>
      <c r="F10" s="157">
        <f t="shared" si="1"/>
        <v>69360</v>
      </c>
      <c r="H10" s="55"/>
    </row>
    <row r="11" spans="1:8" x14ac:dyDescent="0.2">
      <c r="A11" s="32">
        <v>7</v>
      </c>
      <c r="B11" s="33" t="s">
        <v>122</v>
      </c>
      <c r="C11" s="383">
        <f>'Sumář všech příspěvků rok 2023'!H35</f>
        <v>443</v>
      </c>
      <c r="D11" s="45">
        <f t="shared" si="2"/>
        <v>9.5</v>
      </c>
      <c r="E11" s="45">
        <f t="shared" si="0"/>
        <v>4208.5</v>
      </c>
      <c r="F11" s="156">
        <f t="shared" si="1"/>
        <v>4209</v>
      </c>
      <c r="H11" s="55"/>
    </row>
    <row r="12" spans="1:8" x14ac:dyDescent="0.2">
      <c r="A12" s="7">
        <v>8</v>
      </c>
      <c r="B12" s="9" t="s">
        <v>123</v>
      </c>
      <c r="C12" s="384">
        <f>'Sumář všech příspěvků rok 2023'!H36</f>
        <v>2699</v>
      </c>
      <c r="D12" s="28">
        <f t="shared" si="2"/>
        <v>9.5</v>
      </c>
      <c r="E12" s="28">
        <f t="shared" si="0"/>
        <v>25640.5</v>
      </c>
      <c r="F12" s="157">
        <f t="shared" si="1"/>
        <v>25641</v>
      </c>
      <c r="H12" s="55"/>
    </row>
    <row r="13" spans="1:8" x14ac:dyDescent="0.2">
      <c r="A13" s="32">
        <v>9</v>
      </c>
      <c r="B13" s="33" t="s">
        <v>124</v>
      </c>
      <c r="C13" s="383">
        <f>'Sumář všech příspěvků rok 2023'!H37</f>
        <v>266</v>
      </c>
      <c r="D13" s="45">
        <f t="shared" si="2"/>
        <v>9.5</v>
      </c>
      <c r="E13" s="45">
        <f t="shared" si="0"/>
        <v>2527</v>
      </c>
      <c r="F13" s="156">
        <f t="shared" si="1"/>
        <v>2527</v>
      </c>
      <c r="H13" s="55"/>
    </row>
    <row r="14" spans="1:8" x14ac:dyDescent="0.2">
      <c r="A14" s="7">
        <v>10</v>
      </c>
      <c r="B14" s="9" t="s">
        <v>125</v>
      </c>
      <c r="C14" s="384">
        <f>'Sumář všech příspěvků rok 2023'!H38</f>
        <v>227</v>
      </c>
      <c r="D14" s="28">
        <f t="shared" si="2"/>
        <v>9.5</v>
      </c>
      <c r="E14" s="28">
        <f t="shared" si="0"/>
        <v>2156.5</v>
      </c>
      <c r="F14" s="157">
        <f t="shared" si="1"/>
        <v>2157</v>
      </c>
      <c r="H14" s="55"/>
    </row>
    <row r="15" spans="1:8" x14ac:dyDescent="0.2">
      <c r="A15" s="32">
        <v>11</v>
      </c>
      <c r="B15" s="33" t="s">
        <v>126</v>
      </c>
      <c r="C15" s="383">
        <f>'Sumář všech příspěvků rok 2023'!H39</f>
        <v>644</v>
      </c>
      <c r="D15" s="45">
        <f t="shared" si="2"/>
        <v>9.5</v>
      </c>
      <c r="E15" s="45">
        <f t="shared" si="0"/>
        <v>6118</v>
      </c>
      <c r="F15" s="156">
        <f t="shared" si="1"/>
        <v>6118</v>
      </c>
      <c r="H15" s="55"/>
    </row>
    <row r="16" spans="1:8" x14ac:dyDescent="0.2">
      <c r="A16" s="7">
        <v>12</v>
      </c>
      <c r="B16" s="9" t="s">
        <v>127</v>
      </c>
      <c r="C16" s="384">
        <f>'Sumář všech příspěvků rok 2023'!H40</f>
        <v>482</v>
      </c>
      <c r="D16" s="28">
        <f t="shared" si="2"/>
        <v>9.5</v>
      </c>
      <c r="E16" s="28">
        <f t="shared" si="0"/>
        <v>4579</v>
      </c>
      <c r="F16" s="157">
        <f t="shared" si="1"/>
        <v>4579</v>
      </c>
      <c r="H16" s="55"/>
    </row>
    <row r="17" spans="1:9" x14ac:dyDescent="0.2">
      <c r="A17" s="32">
        <v>13</v>
      </c>
      <c r="B17" s="33" t="s">
        <v>128</v>
      </c>
      <c r="C17" s="383">
        <f>'Sumář všech příspěvků rok 2023'!H41</f>
        <v>360</v>
      </c>
      <c r="D17" s="45">
        <f t="shared" si="2"/>
        <v>9.5</v>
      </c>
      <c r="E17" s="45">
        <f t="shared" si="0"/>
        <v>3420</v>
      </c>
      <c r="F17" s="156">
        <f t="shared" si="1"/>
        <v>3420</v>
      </c>
      <c r="H17" s="55"/>
    </row>
    <row r="18" spans="1:9" x14ac:dyDescent="0.2">
      <c r="A18" s="7">
        <v>14</v>
      </c>
      <c r="B18" s="9" t="s">
        <v>129</v>
      </c>
      <c r="C18" s="384">
        <f>'Sumář všech příspěvků rok 2023'!H42</f>
        <v>446</v>
      </c>
      <c r="D18" s="28">
        <f t="shared" si="2"/>
        <v>9.5</v>
      </c>
      <c r="E18" s="28">
        <f t="shared" si="0"/>
        <v>4237</v>
      </c>
      <c r="F18" s="157">
        <f t="shared" si="1"/>
        <v>4237</v>
      </c>
      <c r="H18" s="55"/>
    </row>
    <row r="19" spans="1:9" x14ac:dyDescent="0.2">
      <c r="A19" s="32">
        <v>15</v>
      </c>
      <c r="B19" s="58" t="s">
        <v>130</v>
      </c>
      <c r="C19" s="383">
        <f>'Sumář všech příspěvků rok 2023'!H43</f>
        <v>3649</v>
      </c>
      <c r="D19" s="45">
        <f t="shared" si="2"/>
        <v>9.5</v>
      </c>
      <c r="E19" s="45">
        <f t="shared" si="0"/>
        <v>34665.5</v>
      </c>
      <c r="F19" s="156">
        <f t="shared" si="1"/>
        <v>34666</v>
      </c>
      <c r="H19" s="55"/>
    </row>
    <row r="20" spans="1:9" x14ac:dyDescent="0.2">
      <c r="A20" s="7">
        <v>16</v>
      </c>
      <c r="B20" s="9" t="s">
        <v>131</v>
      </c>
      <c r="C20" s="384">
        <f>'Sumář všech příspěvků rok 2023'!H44</f>
        <v>286</v>
      </c>
      <c r="D20" s="28">
        <f t="shared" si="2"/>
        <v>9.5</v>
      </c>
      <c r="E20" s="28">
        <f t="shared" si="0"/>
        <v>2717</v>
      </c>
      <c r="F20" s="157">
        <f t="shared" si="1"/>
        <v>2717</v>
      </c>
      <c r="H20" s="55"/>
    </row>
    <row r="21" spans="1:9" x14ac:dyDescent="0.2">
      <c r="A21" s="32">
        <v>17</v>
      </c>
      <c r="B21" s="33" t="s">
        <v>137</v>
      </c>
      <c r="C21" s="383">
        <f>'Sumář všech příspěvků rok 2023'!H45</f>
        <v>2836</v>
      </c>
      <c r="D21" s="45">
        <f t="shared" si="2"/>
        <v>9.5</v>
      </c>
      <c r="E21" s="45">
        <f t="shared" si="0"/>
        <v>26942</v>
      </c>
      <c r="F21" s="156">
        <f t="shared" si="1"/>
        <v>26942</v>
      </c>
      <c r="H21" s="55"/>
    </row>
    <row r="22" spans="1:9" ht="13.5" thickBot="1" x14ac:dyDescent="0.25">
      <c r="A22" s="19">
        <v>18</v>
      </c>
      <c r="B22" s="9" t="s">
        <v>133</v>
      </c>
      <c r="C22" s="384">
        <f>'Sumář všech příspěvků rok 2023'!H46</f>
        <v>1323</v>
      </c>
      <c r="D22" s="29">
        <f t="shared" si="2"/>
        <v>9.5</v>
      </c>
      <c r="E22" s="29">
        <f t="shared" si="0"/>
        <v>12568.5</v>
      </c>
      <c r="F22" s="158">
        <f t="shared" si="1"/>
        <v>12569</v>
      </c>
      <c r="H22" s="55"/>
    </row>
    <row r="23" spans="1:9" ht="13.5" thickBot="1" x14ac:dyDescent="0.25">
      <c r="A23" s="20"/>
      <c r="B23" s="21"/>
      <c r="C23" s="193">
        <f>SUM(C5:C22)</f>
        <v>24177</v>
      </c>
      <c r="D23" s="21"/>
      <c r="E23" s="50">
        <f>SUM(E5:E22)</f>
        <v>229681.5</v>
      </c>
      <c r="F23" s="159">
        <f>SUM(F5:F22)</f>
        <v>229686</v>
      </c>
      <c r="G23" s="6"/>
      <c r="H23" s="54">
        <v>230000</v>
      </c>
      <c r="I23" s="119">
        <f>SUM(H23/C23)</f>
        <v>9.513173677462051</v>
      </c>
    </row>
    <row r="25" spans="1:9" x14ac:dyDescent="0.2">
      <c r="A25" s="283" t="s">
        <v>190</v>
      </c>
    </row>
    <row r="26" spans="1:9" ht="12" customHeight="1" x14ac:dyDescent="0.2">
      <c r="A26" s="456"/>
      <c r="B26" s="457"/>
      <c r="C26" s="457"/>
      <c r="D26" s="457"/>
      <c r="E26" s="457"/>
      <c r="F26" s="457"/>
      <c r="G26" s="457"/>
    </row>
    <row r="27" spans="1:9" ht="14.25" x14ac:dyDescent="0.2">
      <c r="A27" s="444" t="s">
        <v>143</v>
      </c>
      <c r="B27" s="444"/>
      <c r="C27" s="444"/>
      <c r="D27" s="444"/>
      <c r="E27" s="5"/>
      <c r="F27" s="5"/>
      <c r="G27" s="5"/>
    </row>
    <row r="28" spans="1:9" ht="12.75" customHeight="1" x14ac:dyDescent="0.2">
      <c r="A28" s="454">
        <f>'č. 4 protidrog.prevence'!A29:F29</f>
        <v>44844</v>
      </c>
      <c r="B28" s="455"/>
      <c r="C28" s="455"/>
      <c r="D28" s="455"/>
      <c r="E28" s="455"/>
      <c r="F28" s="455"/>
      <c r="G28" s="455"/>
    </row>
    <row r="30" spans="1:9" x14ac:dyDescent="0.2">
      <c r="F30"/>
    </row>
    <row r="31" spans="1:9" x14ac:dyDescent="0.2">
      <c r="F31"/>
    </row>
    <row r="32" spans="1:9" x14ac:dyDescent="0.2">
      <c r="F32"/>
    </row>
    <row r="33" spans="6:6" x14ac:dyDescent="0.2">
      <c r="F33"/>
    </row>
    <row r="34" spans="6:6" x14ac:dyDescent="0.2">
      <c r="F34"/>
    </row>
    <row r="35" spans="6:6" x14ac:dyDescent="0.2">
      <c r="F35"/>
    </row>
    <row r="36" spans="6:6" x14ac:dyDescent="0.2">
      <c r="F36"/>
    </row>
    <row r="37" spans="6:6" x14ac:dyDescent="0.2">
      <c r="F37"/>
    </row>
    <row r="38" spans="6:6" x14ac:dyDescent="0.2">
      <c r="F38"/>
    </row>
    <row r="39" spans="6:6" x14ac:dyDescent="0.2">
      <c r="F39"/>
    </row>
    <row r="40" spans="6:6" x14ac:dyDescent="0.2">
      <c r="F40"/>
    </row>
    <row r="41" spans="6:6" x14ac:dyDescent="0.2">
      <c r="F41"/>
    </row>
    <row r="42" spans="6:6" x14ac:dyDescent="0.2">
      <c r="F42"/>
    </row>
    <row r="43" spans="6:6" x14ac:dyDescent="0.2">
      <c r="F43"/>
    </row>
    <row r="44" spans="6:6" x14ac:dyDescent="0.2">
      <c r="F44"/>
    </row>
    <row r="45" spans="6:6" x14ac:dyDescent="0.2">
      <c r="F45"/>
    </row>
    <row r="46" spans="6:6" x14ac:dyDescent="0.2">
      <c r="F46"/>
    </row>
    <row r="47" spans="6:6" x14ac:dyDescent="0.2">
      <c r="F47"/>
    </row>
    <row r="48" spans="6:6" x14ac:dyDescent="0.2">
      <c r="F48"/>
    </row>
    <row r="49" spans="6:6" x14ac:dyDescent="0.2">
      <c r="F49"/>
    </row>
    <row r="50" spans="6:6" x14ac:dyDescent="0.2">
      <c r="F50"/>
    </row>
    <row r="51" spans="6:6" x14ac:dyDescent="0.2">
      <c r="F51"/>
    </row>
    <row r="52" spans="6:6" x14ac:dyDescent="0.2">
      <c r="F52"/>
    </row>
    <row r="53" spans="6:6" x14ac:dyDescent="0.2">
      <c r="F53"/>
    </row>
    <row r="54" spans="6:6" x14ac:dyDescent="0.2">
      <c r="F54"/>
    </row>
  </sheetData>
  <mergeCells count="3">
    <mergeCell ref="A26:G26"/>
    <mergeCell ref="A27:D27"/>
    <mergeCell ref="A28:G2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G15"/>
  <sheetViews>
    <sheetView workbookViewId="0">
      <selection activeCell="A14" sqref="A14:D14"/>
    </sheetView>
  </sheetViews>
  <sheetFormatPr defaultRowHeight="12.75" x14ac:dyDescent="0.2"/>
  <cols>
    <col min="2" max="2" width="11.140625" bestFit="1" customWidth="1"/>
    <col min="3" max="3" width="10.85546875" bestFit="1" customWidth="1"/>
    <col min="4" max="4" width="17.7109375" customWidth="1"/>
  </cols>
  <sheetData>
    <row r="1" spans="1:7" ht="15.75" x14ac:dyDescent="0.25">
      <c r="A1" s="64" t="s">
        <v>191</v>
      </c>
      <c r="C1" s="64"/>
      <c r="D1" s="8"/>
      <c r="E1" s="8"/>
    </row>
    <row r="2" spans="1:7" x14ac:dyDescent="0.2">
      <c r="A2" s="5"/>
    </row>
    <row r="3" spans="1:7" x14ac:dyDescent="0.2">
      <c r="D3" t="s">
        <v>192</v>
      </c>
    </row>
    <row r="4" spans="1:7" x14ac:dyDescent="0.2">
      <c r="A4" s="283" t="s">
        <v>193</v>
      </c>
    </row>
    <row r="5" spans="1:7" ht="13.5" thickBot="1" x14ac:dyDescent="0.25">
      <c r="A5" t="s">
        <v>194</v>
      </c>
    </row>
    <row r="6" spans="1:7" x14ac:dyDescent="0.2">
      <c r="A6" s="24"/>
      <c r="B6" s="25" t="s">
        <v>106</v>
      </c>
      <c r="C6" s="385" t="s">
        <v>195</v>
      </c>
      <c r="D6" s="27" t="s">
        <v>142</v>
      </c>
    </row>
    <row r="7" spans="1:7" ht="2.25" customHeight="1" x14ac:dyDescent="0.2">
      <c r="A7" s="46"/>
      <c r="B7" s="47"/>
      <c r="C7" s="47"/>
      <c r="D7" s="48"/>
    </row>
    <row r="8" spans="1:7" x14ac:dyDescent="0.2">
      <c r="A8" s="7">
        <v>1</v>
      </c>
      <c r="B8" s="9" t="s">
        <v>119</v>
      </c>
      <c r="C8" s="344"/>
      <c r="D8" s="28">
        <v>300000</v>
      </c>
    </row>
    <row r="9" spans="1:7" x14ac:dyDescent="0.2">
      <c r="A9" s="7">
        <v>2</v>
      </c>
      <c r="B9" s="9" t="s">
        <v>121</v>
      </c>
      <c r="C9" s="344"/>
      <c r="D9" s="28">
        <f>D8</f>
        <v>300000</v>
      </c>
    </row>
    <row r="10" spans="1:7" x14ac:dyDescent="0.2">
      <c r="A10" s="7">
        <v>3</v>
      </c>
      <c r="B10" s="9" t="s">
        <v>124</v>
      </c>
      <c r="C10" s="344"/>
      <c r="D10" s="28">
        <f>D9</f>
        <v>300000</v>
      </c>
    </row>
    <row r="11" spans="1:7" ht="13.5" thickBot="1" x14ac:dyDescent="0.25">
      <c r="A11" s="7">
        <v>4</v>
      </c>
      <c r="B11" s="9" t="s">
        <v>128</v>
      </c>
      <c r="C11" s="344"/>
      <c r="D11" s="28">
        <f>D10</f>
        <v>300000</v>
      </c>
    </row>
    <row r="12" spans="1:7" ht="13.5" thickBot="1" x14ac:dyDescent="0.25">
      <c r="A12" s="386" t="s">
        <v>196</v>
      </c>
      <c r="B12" s="21"/>
      <c r="C12" s="21"/>
      <c r="D12" s="50">
        <f>SUM(D8:D11)</f>
        <v>1200000</v>
      </c>
    </row>
    <row r="14" spans="1:7" ht="14.25" x14ac:dyDescent="0.2">
      <c r="A14" s="444" t="s">
        <v>143</v>
      </c>
      <c r="B14" s="444"/>
      <c r="C14" s="444"/>
      <c r="D14" s="444"/>
      <c r="E14" s="5"/>
      <c r="F14" s="5"/>
      <c r="G14" s="5"/>
    </row>
    <row r="15" spans="1:7" ht="14.25" x14ac:dyDescent="0.2">
      <c r="A15" s="454">
        <f>' č.5 SVP'!A28:G28</f>
        <v>44844</v>
      </c>
      <c r="B15" s="455"/>
      <c r="C15" s="455"/>
      <c r="D15" s="455"/>
      <c r="E15" s="455"/>
      <c r="F15" s="455"/>
      <c r="G15" s="455"/>
    </row>
  </sheetData>
  <mergeCells count="2">
    <mergeCell ref="A14:D14"/>
    <mergeCell ref="A15:G15"/>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H55"/>
  <sheetViews>
    <sheetView workbookViewId="0">
      <selection activeCell="A28" sqref="A28:D28"/>
    </sheetView>
  </sheetViews>
  <sheetFormatPr defaultRowHeight="12.75" x14ac:dyDescent="0.2"/>
  <cols>
    <col min="2" max="2" width="24.5703125" customWidth="1"/>
    <col min="3" max="3" width="11.140625" customWidth="1"/>
    <col min="4" max="4" width="15.28515625" customWidth="1"/>
    <col min="5" max="5" width="17.7109375" customWidth="1"/>
    <col min="6" max="6" width="16.28515625" style="1" customWidth="1"/>
    <col min="7" max="7" width="17.28515625" customWidth="1"/>
    <col min="8" max="8" width="18.28515625" customWidth="1"/>
    <col min="9" max="9" width="13" customWidth="1"/>
    <col min="12" max="12" width="9.140625" customWidth="1"/>
  </cols>
  <sheetData>
    <row r="1" spans="1:8" x14ac:dyDescent="0.2">
      <c r="B1" s="5" t="s">
        <v>197</v>
      </c>
      <c r="F1" s="4"/>
    </row>
    <row r="2" spans="1:8" ht="13.5" thickBot="1" x14ac:dyDescent="0.25">
      <c r="A2" s="59"/>
      <c r="F2" s="342" t="s">
        <v>198</v>
      </c>
    </row>
    <row r="3" spans="1:8" ht="38.25" x14ac:dyDescent="0.2">
      <c r="A3" s="24"/>
      <c r="B3" s="25" t="s">
        <v>106</v>
      </c>
      <c r="C3" s="25" t="s">
        <v>105</v>
      </c>
      <c r="D3" s="26" t="str">
        <f>' č.5 SVP'!C3</f>
        <v>počet obyvatel k 1. 1. 2022 dle MF</v>
      </c>
      <c r="E3" s="387" t="s">
        <v>199</v>
      </c>
      <c r="F3" s="27" t="s">
        <v>142</v>
      </c>
      <c r="H3" s="283"/>
    </row>
    <row r="4" spans="1:8" ht="5.25" customHeight="1" thickBot="1" x14ac:dyDescent="0.25">
      <c r="A4" s="46"/>
      <c r="B4" s="47"/>
      <c r="C4" s="73"/>
      <c r="D4" s="73"/>
      <c r="E4" s="47"/>
      <c r="F4" s="48"/>
    </row>
    <row r="5" spans="1:8" x14ac:dyDescent="0.2">
      <c r="A5" s="32">
        <v>1</v>
      </c>
      <c r="B5" s="33" t="s">
        <v>116</v>
      </c>
      <c r="C5" s="33">
        <v>2012</v>
      </c>
      <c r="D5" s="33">
        <f>'Sumář všech příspěvků rok 2023'!H29</f>
        <v>691</v>
      </c>
      <c r="E5" s="131">
        <v>3</v>
      </c>
      <c r="F5" s="45"/>
      <c r="H5" s="55"/>
    </row>
    <row r="6" spans="1:8" x14ac:dyDescent="0.2">
      <c r="A6" s="7">
        <v>2</v>
      </c>
      <c r="B6" s="9" t="s">
        <v>117</v>
      </c>
      <c r="C6" s="9">
        <v>2013</v>
      </c>
      <c r="D6" s="9">
        <f>'Sumář všech příspěvků rok 2023'!H30</f>
        <v>945</v>
      </c>
      <c r="E6" s="132">
        <f>E5</f>
        <v>3</v>
      </c>
      <c r="F6" s="28"/>
      <c r="H6" s="55"/>
    </row>
    <row r="7" spans="1:8" x14ac:dyDescent="0.2">
      <c r="A7" s="32">
        <v>3</v>
      </c>
      <c r="B7" s="33" t="s">
        <v>118</v>
      </c>
      <c r="C7" s="33">
        <v>2015</v>
      </c>
      <c r="D7" s="33">
        <f>'Sumář všech příspěvků rok 2023'!H31</f>
        <v>318</v>
      </c>
      <c r="E7" s="133">
        <f t="shared" ref="E7:E22" si="0">E6</f>
        <v>3</v>
      </c>
      <c r="F7" s="45"/>
      <c r="H7" s="55"/>
    </row>
    <row r="8" spans="1:8" x14ac:dyDescent="0.2">
      <c r="A8" s="7">
        <v>4</v>
      </c>
      <c r="B8" s="9" t="s">
        <v>119</v>
      </c>
      <c r="C8" s="9">
        <v>2017</v>
      </c>
      <c r="D8" s="9">
        <f>'Sumář všech příspěvků rok 2023'!H32</f>
        <v>703</v>
      </c>
      <c r="E8" s="132">
        <f t="shared" si="0"/>
        <v>3</v>
      </c>
      <c r="F8" s="28"/>
      <c r="H8" s="55"/>
    </row>
    <row r="9" spans="1:8" x14ac:dyDescent="0.2">
      <c r="A9" s="32">
        <v>5</v>
      </c>
      <c r="B9" s="33" t="s">
        <v>120</v>
      </c>
      <c r="C9" s="33">
        <v>2019</v>
      </c>
      <c r="D9" s="33">
        <f>'Sumář všech příspěvků rok 2023'!H33</f>
        <v>558</v>
      </c>
      <c r="E9" s="133">
        <f t="shared" si="0"/>
        <v>3</v>
      </c>
      <c r="F9" s="45"/>
      <c r="H9" s="55"/>
    </row>
    <row r="10" spans="1:8" x14ac:dyDescent="0.2">
      <c r="A10" s="7">
        <v>6</v>
      </c>
      <c r="B10" s="9" t="s">
        <v>121</v>
      </c>
      <c r="C10" s="9">
        <v>2003</v>
      </c>
      <c r="D10" s="9">
        <f>'Sumář všech příspěvků rok 2023'!H34</f>
        <v>7301</v>
      </c>
      <c r="E10" s="132">
        <v>0</v>
      </c>
      <c r="F10" s="28"/>
      <c r="H10" s="55"/>
    </row>
    <row r="11" spans="1:8" x14ac:dyDescent="0.2">
      <c r="A11" s="32">
        <v>7</v>
      </c>
      <c r="B11" s="33" t="s">
        <v>122</v>
      </c>
      <c r="C11" s="33">
        <v>2020</v>
      </c>
      <c r="D11" s="33">
        <f>'Sumář všech příspěvků rok 2023'!H35</f>
        <v>443</v>
      </c>
      <c r="E11" s="133">
        <f>E9</f>
        <v>3</v>
      </c>
      <c r="F11" s="45"/>
      <c r="H11" s="55"/>
    </row>
    <row r="12" spans="1:8" x14ac:dyDescent="0.2">
      <c r="A12" s="7">
        <v>8</v>
      </c>
      <c r="B12" s="9" t="s">
        <v>123</v>
      </c>
      <c r="C12" s="9">
        <v>2004</v>
      </c>
      <c r="D12" s="9">
        <f>'Sumář všech příspěvků rok 2023'!H36</f>
        <v>2699</v>
      </c>
      <c r="E12" s="132">
        <f t="shared" si="0"/>
        <v>3</v>
      </c>
      <c r="F12" s="28"/>
      <c r="H12" s="55"/>
    </row>
    <row r="13" spans="1:8" x14ac:dyDescent="0.2">
      <c r="A13" s="32">
        <v>9</v>
      </c>
      <c r="B13" s="33" t="s">
        <v>124</v>
      </c>
      <c r="C13" s="33">
        <v>2021</v>
      </c>
      <c r="D13" s="33">
        <f>'Sumář všech příspěvků rok 2023'!H37</f>
        <v>266</v>
      </c>
      <c r="E13" s="133">
        <f t="shared" si="0"/>
        <v>3</v>
      </c>
      <c r="F13" s="45"/>
      <c r="H13" s="55"/>
    </row>
    <row r="14" spans="1:8" x14ac:dyDescent="0.2">
      <c r="A14" s="7">
        <v>10</v>
      </c>
      <c r="B14" s="9" t="s">
        <v>125</v>
      </c>
      <c r="C14" s="9">
        <v>2023</v>
      </c>
      <c r="D14" s="9">
        <f>'Sumář všech příspěvků rok 2023'!H38</f>
        <v>227</v>
      </c>
      <c r="E14" s="132">
        <f t="shared" si="0"/>
        <v>3</v>
      </c>
      <c r="F14" s="28"/>
      <c r="H14" s="55"/>
    </row>
    <row r="15" spans="1:8" x14ac:dyDescent="0.2">
      <c r="A15" s="32">
        <v>11</v>
      </c>
      <c r="B15" s="33" t="s">
        <v>126</v>
      </c>
      <c r="C15" s="33">
        <v>2027</v>
      </c>
      <c r="D15" s="33">
        <f>'Sumář všech příspěvků rok 2023'!H39</f>
        <v>644</v>
      </c>
      <c r="E15" s="133">
        <f t="shared" si="0"/>
        <v>3</v>
      </c>
      <c r="F15" s="45"/>
      <c r="H15" s="55"/>
    </row>
    <row r="16" spans="1:8" x14ac:dyDescent="0.2">
      <c r="A16" s="7">
        <v>12</v>
      </c>
      <c r="B16" s="9" t="s">
        <v>127</v>
      </c>
      <c r="C16" s="9">
        <v>2029</v>
      </c>
      <c r="D16" s="9">
        <f>'Sumář všech příspěvků rok 2023'!H40</f>
        <v>482</v>
      </c>
      <c r="E16" s="132">
        <f t="shared" si="0"/>
        <v>3</v>
      </c>
      <c r="F16" s="28"/>
      <c r="H16" s="55"/>
    </row>
    <row r="17" spans="1:8" x14ac:dyDescent="0.2">
      <c r="A17" s="32">
        <v>13</v>
      </c>
      <c r="B17" s="33" t="s">
        <v>128</v>
      </c>
      <c r="C17" s="33">
        <v>2032</v>
      </c>
      <c r="D17" s="33">
        <f>'Sumář všech příspěvků rok 2023'!H41</f>
        <v>360</v>
      </c>
      <c r="E17" s="133">
        <f t="shared" si="0"/>
        <v>3</v>
      </c>
      <c r="F17" s="45"/>
      <c r="H17" s="55"/>
    </row>
    <row r="18" spans="1:8" x14ac:dyDescent="0.2">
      <c r="A18" s="7">
        <v>14</v>
      </c>
      <c r="B18" s="9" t="s">
        <v>129</v>
      </c>
      <c r="C18" s="9">
        <v>2033</v>
      </c>
      <c r="D18" s="9">
        <f>'Sumář všech příspěvků rok 2023'!H42</f>
        <v>446</v>
      </c>
      <c r="E18" s="132">
        <f t="shared" si="0"/>
        <v>3</v>
      </c>
      <c r="F18" s="28"/>
      <c r="H18" s="55"/>
    </row>
    <row r="19" spans="1:8" x14ac:dyDescent="0.2">
      <c r="A19" s="32">
        <v>15</v>
      </c>
      <c r="B19" s="58" t="s">
        <v>130</v>
      </c>
      <c r="C19" s="58">
        <v>2008</v>
      </c>
      <c r="D19" s="58">
        <f>'Sumář všech příspěvků rok 2023'!H43</f>
        <v>3649</v>
      </c>
      <c r="E19" s="134">
        <f t="shared" si="0"/>
        <v>3</v>
      </c>
      <c r="F19" s="45"/>
      <c r="H19" s="55"/>
    </row>
    <row r="20" spans="1:8" x14ac:dyDescent="0.2">
      <c r="A20" s="7">
        <v>16</v>
      </c>
      <c r="B20" s="9" t="s">
        <v>131</v>
      </c>
      <c r="C20" s="9">
        <v>2041</v>
      </c>
      <c r="D20" s="9">
        <f>'Sumář všech příspěvků rok 2023'!H44</f>
        <v>286</v>
      </c>
      <c r="E20" s="132">
        <f t="shared" si="0"/>
        <v>3</v>
      </c>
      <c r="F20" s="28"/>
      <c r="H20" s="55"/>
    </row>
    <row r="21" spans="1:8" x14ac:dyDescent="0.2">
      <c r="A21" s="32">
        <v>17</v>
      </c>
      <c r="B21" s="33" t="s">
        <v>137</v>
      </c>
      <c r="C21" s="33">
        <v>2009</v>
      </c>
      <c r="D21" s="33">
        <f>'Sumář všech příspěvků rok 2023'!H45</f>
        <v>2836</v>
      </c>
      <c r="E21" s="133">
        <f t="shared" si="0"/>
        <v>3</v>
      </c>
      <c r="F21" s="45"/>
      <c r="H21" s="55"/>
    </row>
    <row r="22" spans="1:8" ht="13.5" thickBot="1" x14ac:dyDescent="0.25">
      <c r="A22" s="19">
        <v>18</v>
      </c>
      <c r="B22" s="9" t="s">
        <v>133</v>
      </c>
      <c r="C22" s="77">
        <v>2053</v>
      </c>
      <c r="D22" s="77">
        <f>'Sumář všech příspěvků rok 2023'!H46</f>
        <v>1323</v>
      </c>
      <c r="E22" s="135">
        <f t="shared" si="0"/>
        <v>3</v>
      </c>
      <c r="F22" s="28"/>
      <c r="H22" s="55"/>
    </row>
    <row r="23" spans="1:8" ht="13.5" thickBot="1" x14ac:dyDescent="0.25">
      <c r="A23" s="20"/>
      <c r="B23" s="21"/>
      <c r="C23" s="21"/>
      <c r="D23" s="22">
        <f>SUM(D5:D22)</f>
        <v>24177</v>
      </c>
      <c r="E23" s="21"/>
      <c r="F23" s="50">
        <v>0</v>
      </c>
      <c r="H23" s="54"/>
    </row>
    <row r="25" spans="1:8" x14ac:dyDescent="0.2">
      <c r="A25" s="283" t="s">
        <v>200</v>
      </c>
    </row>
    <row r="26" spans="1:8" ht="12.75" customHeight="1" x14ac:dyDescent="0.2">
      <c r="A26" s="458" t="s">
        <v>201</v>
      </c>
      <c r="B26" s="458"/>
      <c r="C26" s="458"/>
      <c r="D26" s="458"/>
      <c r="E26" s="458"/>
      <c r="F26" s="458"/>
      <c r="G26" s="196"/>
    </row>
    <row r="27" spans="1:8" ht="12.75" customHeight="1" x14ac:dyDescent="0.2">
      <c r="A27" s="388"/>
      <c r="B27" s="388"/>
      <c r="C27" s="388"/>
      <c r="D27" s="388"/>
      <c r="E27" s="388"/>
      <c r="F27" s="388"/>
      <c r="G27" s="196"/>
    </row>
    <row r="28" spans="1:8" ht="14.25" x14ac:dyDescent="0.2">
      <c r="A28" s="444" t="s">
        <v>143</v>
      </c>
      <c r="B28" s="444"/>
      <c r="C28" s="444"/>
      <c r="D28" s="444"/>
      <c r="E28" s="5"/>
      <c r="F28" s="5"/>
      <c r="G28" s="5"/>
    </row>
    <row r="29" spans="1:8" ht="14.25" x14ac:dyDescent="0.2">
      <c r="A29" s="454">
        <f>'č. 6 Heřmanička'!A15:G15</f>
        <v>44844</v>
      </c>
      <c r="B29" s="454"/>
      <c r="C29" s="202"/>
      <c r="D29" s="202"/>
      <c r="E29" s="202"/>
      <c r="F29" s="202"/>
      <c r="G29" s="202"/>
    </row>
    <row r="31" spans="1:8" x14ac:dyDescent="0.2">
      <c r="F31"/>
    </row>
    <row r="32" spans="1:8" x14ac:dyDescent="0.2">
      <c r="F32"/>
    </row>
    <row r="33" spans="6:6" x14ac:dyDescent="0.2">
      <c r="F33"/>
    </row>
    <row r="34" spans="6:6" x14ac:dyDescent="0.2">
      <c r="F34"/>
    </row>
    <row r="35" spans="6:6" x14ac:dyDescent="0.2">
      <c r="F35"/>
    </row>
    <row r="36" spans="6:6" x14ac:dyDescent="0.2">
      <c r="F36"/>
    </row>
    <row r="37" spans="6:6" x14ac:dyDescent="0.2">
      <c r="F37"/>
    </row>
    <row r="38" spans="6:6" x14ac:dyDescent="0.2">
      <c r="F38"/>
    </row>
    <row r="39" spans="6:6" x14ac:dyDescent="0.2">
      <c r="F39"/>
    </row>
    <row r="40" spans="6:6" x14ac:dyDescent="0.2">
      <c r="F40"/>
    </row>
    <row r="41" spans="6:6" x14ac:dyDescent="0.2">
      <c r="F41"/>
    </row>
    <row r="42" spans="6:6" x14ac:dyDescent="0.2">
      <c r="F42"/>
    </row>
    <row r="43" spans="6:6" x14ac:dyDescent="0.2">
      <c r="F43"/>
    </row>
    <row r="44" spans="6:6" x14ac:dyDescent="0.2">
      <c r="F44"/>
    </row>
    <row r="45" spans="6:6" x14ac:dyDescent="0.2">
      <c r="F45"/>
    </row>
    <row r="46" spans="6:6" x14ac:dyDescent="0.2">
      <c r="F46"/>
    </row>
    <row r="47" spans="6:6" x14ac:dyDescent="0.2">
      <c r="F47"/>
    </row>
    <row r="48" spans="6:6" x14ac:dyDescent="0.2">
      <c r="F48"/>
    </row>
    <row r="49" spans="6:6" x14ac:dyDescent="0.2">
      <c r="F49"/>
    </row>
    <row r="50" spans="6:6" x14ac:dyDescent="0.2">
      <c r="F50"/>
    </row>
    <row r="51" spans="6:6" x14ac:dyDescent="0.2">
      <c r="F51"/>
    </row>
    <row r="52" spans="6:6" x14ac:dyDescent="0.2">
      <c r="F52"/>
    </row>
    <row r="53" spans="6:6" x14ac:dyDescent="0.2">
      <c r="F53"/>
    </row>
    <row r="54" spans="6:6" x14ac:dyDescent="0.2">
      <c r="F54"/>
    </row>
    <row r="55" spans="6:6" x14ac:dyDescent="0.2">
      <c r="F55"/>
    </row>
  </sheetData>
  <mergeCells count="3">
    <mergeCell ref="A28:D28"/>
    <mergeCell ref="A29:B29"/>
    <mergeCell ref="A26:F2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A1:J52"/>
  <sheetViews>
    <sheetView workbookViewId="0">
      <selection activeCell="I34" sqref="I34"/>
    </sheetView>
  </sheetViews>
  <sheetFormatPr defaultRowHeight="12.75" x14ac:dyDescent="0.2"/>
  <cols>
    <col min="1" max="1" width="10.140625" bestFit="1" customWidth="1"/>
    <col min="2" max="2" width="24.5703125" customWidth="1"/>
    <col min="3" max="3" width="11" customWidth="1"/>
    <col min="4" max="4" width="15.140625" hidden="1" customWidth="1"/>
    <col min="5" max="5" width="14.85546875" style="1" customWidth="1"/>
    <col min="6" max="6" width="17.28515625" customWidth="1"/>
    <col min="7" max="7" width="18.28515625" customWidth="1"/>
    <col min="8" max="8" width="13" customWidth="1"/>
    <col min="11" max="11" width="9.140625" customWidth="1"/>
  </cols>
  <sheetData>
    <row r="1" spans="1:7" ht="15.75" x14ac:dyDescent="0.25">
      <c r="A1" s="64" t="s">
        <v>202</v>
      </c>
      <c r="C1" s="64"/>
      <c r="D1" s="8"/>
      <c r="E1" s="4"/>
    </row>
    <row r="2" spans="1:7" ht="13.5" thickBot="1" x14ac:dyDescent="0.25">
      <c r="A2" s="59"/>
      <c r="E2" s="342" t="s">
        <v>203</v>
      </c>
    </row>
    <row r="3" spans="1:7" s="180" customFormat="1" ht="38.25" x14ac:dyDescent="0.2">
      <c r="A3" s="176"/>
      <c r="B3" s="177" t="s">
        <v>106</v>
      </c>
      <c r="C3" s="177" t="s">
        <v>105</v>
      </c>
      <c r="D3" s="178" t="str">
        <f>' č.5 SVP'!C3</f>
        <v>počet obyvatel k 1. 1. 2022 dle MF</v>
      </c>
      <c r="E3" s="389" t="s">
        <v>204</v>
      </c>
      <c r="F3" s="179" t="s">
        <v>205</v>
      </c>
      <c r="G3" s="382"/>
    </row>
    <row r="4" spans="1:7" ht="5.25" customHeight="1" x14ac:dyDescent="0.2">
      <c r="A4" s="46"/>
      <c r="B4" s="47"/>
      <c r="C4" s="73"/>
      <c r="D4" s="73"/>
      <c r="E4" s="48"/>
      <c r="F4" s="48"/>
    </row>
    <row r="5" spans="1:7" x14ac:dyDescent="0.2">
      <c r="A5" s="32">
        <v>1</v>
      </c>
      <c r="B5" s="33" t="s">
        <v>116</v>
      </c>
      <c r="C5" s="33">
        <v>2012</v>
      </c>
      <c r="D5" s="33">
        <f>'Sumář všech příspěvků rok 2023'!H29</f>
        <v>691</v>
      </c>
      <c r="E5" s="45"/>
      <c r="F5" s="45">
        <f>ROUND(E5,0)</f>
        <v>0</v>
      </c>
      <c r="G5" s="55"/>
    </row>
    <row r="6" spans="1:7" x14ac:dyDescent="0.2">
      <c r="A6" s="7">
        <v>2</v>
      </c>
      <c r="B6" s="9" t="s">
        <v>117</v>
      </c>
      <c r="C6" s="9">
        <v>2013</v>
      </c>
      <c r="D6" s="9">
        <f>'Sumář všech příspěvků rok 2023'!H30</f>
        <v>945</v>
      </c>
      <c r="E6" s="28"/>
      <c r="F6" s="28">
        <f>ROUND(E6,0)</f>
        <v>0</v>
      </c>
      <c r="G6" s="55"/>
    </row>
    <row r="7" spans="1:7" x14ac:dyDescent="0.2">
      <c r="A7" s="32">
        <v>3</v>
      </c>
      <c r="B7" s="33" t="s">
        <v>118</v>
      </c>
      <c r="C7" s="33">
        <v>2015</v>
      </c>
      <c r="D7" s="33">
        <f>'Sumář všech příspěvků rok 2023'!H31</f>
        <v>318</v>
      </c>
      <c r="E7" s="45"/>
      <c r="F7" s="45">
        <f>ROUND(E7,0)</f>
        <v>0</v>
      </c>
      <c r="G7" s="55"/>
    </row>
    <row r="8" spans="1:7" x14ac:dyDescent="0.2">
      <c r="A8" s="7">
        <v>4</v>
      </c>
      <c r="B8" s="9" t="s">
        <v>119</v>
      </c>
      <c r="C8" s="9">
        <v>2017</v>
      </c>
      <c r="D8" s="9">
        <f>'Sumář všech příspěvků rok 2023'!H32</f>
        <v>703</v>
      </c>
      <c r="E8" s="28"/>
      <c r="F8" s="28">
        <f>ROUND(E8,0)</f>
        <v>0</v>
      </c>
      <c r="G8" s="55"/>
    </row>
    <row r="9" spans="1:7" x14ac:dyDescent="0.2">
      <c r="A9" s="32">
        <v>5</v>
      </c>
      <c r="B9" s="33" t="s">
        <v>120</v>
      </c>
      <c r="C9" s="33">
        <v>2019</v>
      </c>
      <c r="D9" s="33">
        <f>'Sumář všech příspěvků rok 2023'!H33</f>
        <v>558</v>
      </c>
      <c r="E9" s="45"/>
      <c r="F9" s="28">
        <f t="shared" ref="F9:F21" si="0">ROUND(E9,0)</f>
        <v>0</v>
      </c>
      <c r="G9" s="55"/>
    </row>
    <row r="10" spans="1:7" x14ac:dyDescent="0.2">
      <c r="A10" s="7">
        <v>6</v>
      </c>
      <c r="B10" s="9" t="s">
        <v>121</v>
      </c>
      <c r="C10" s="9">
        <v>2003</v>
      </c>
      <c r="D10" s="9">
        <f>'Sumář všech příspěvků rok 2023'!H34</f>
        <v>7301</v>
      </c>
      <c r="E10" s="28"/>
      <c r="F10" s="28">
        <f t="shared" si="0"/>
        <v>0</v>
      </c>
      <c r="G10" s="55"/>
    </row>
    <row r="11" spans="1:7" x14ac:dyDescent="0.2">
      <c r="A11" s="32">
        <v>7</v>
      </c>
      <c r="B11" s="33" t="s">
        <v>122</v>
      </c>
      <c r="C11" s="33">
        <v>2020</v>
      </c>
      <c r="D11" s="33">
        <f>'Sumář všech příspěvků rok 2023'!H35</f>
        <v>443</v>
      </c>
      <c r="E11" s="45"/>
      <c r="F11" s="28">
        <f t="shared" si="0"/>
        <v>0</v>
      </c>
      <c r="G11" s="55"/>
    </row>
    <row r="12" spans="1:7" x14ac:dyDescent="0.2">
      <c r="A12" s="7">
        <v>8</v>
      </c>
      <c r="B12" s="9" t="s">
        <v>123</v>
      </c>
      <c r="C12" s="9">
        <v>2004</v>
      </c>
      <c r="D12" s="9">
        <f>'Sumář všech příspěvků rok 2023'!H36</f>
        <v>2699</v>
      </c>
      <c r="E12" s="28"/>
      <c r="F12" s="28">
        <f t="shared" si="0"/>
        <v>0</v>
      </c>
      <c r="G12" s="55"/>
    </row>
    <row r="13" spans="1:7" x14ac:dyDescent="0.2">
      <c r="A13" s="32">
        <v>9</v>
      </c>
      <c r="B13" s="33" t="s">
        <v>124</v>
      </c>
      <c r="C13" s="33">
        <v>2021</v>
      </c>
      <c r="D13" s="33">
        <f>'Sumář všech příspěvků rok 2023'!H37</f>
        <v>266</v>
      </c>
      <c r="E13" s="45"/>
      <c r="F13" s="28">
        <f t="shared" si="0"/>
        <v>0</v>
      </c>
      <c r="G13" s="55"/>
    </row>
    <row r="14" spans="1:7" x14ac:dyDescent="0.2">
      <c r="A14" s="7">
        <v>10</v>
      </c>
      <c r="B14" s="9" t="s">
        <v>125</v>
      </c>
      <c r="C14" s="9">
        <v>2023</v>
      </c>
      <c r="D14" s="9">
        <f>'Sumář všech příspěvků rok 2023'!H38</f>
        <v>227</v>
      </c>
      <c r="E14" s="28"/>
      <c r="F14" s="28">
        <f t="shared" si="0"/>
        <v>0</v>
      </c>
      <c r="G14" s="55"/>
    </row>
    <row r="15" spans="1:7" x14ac:dyDescent="0.2">
      <c r="A15" s="32">
        <v>11</v>
      </c>
      <c r="B15" s="33" t="s">
        <v>126</v>
      </c>
      <c r="C15" s="33">
        <v>2027</v>
      </c>
      <c r="D15" s="33">
        <f>'Sumář všech příspěvků rok 2023'!H39</f>
        <v>644</v>
      </c>
      <c r="E15" s="45"/>
      <c r="F15" s="28">
        <f t="shared" si="0"/>
        <v>0</v>
      </c>
      <c r="G15" s="55"/>
    </row>
    <row r="16" spans="1:7" x14ac:dyDescent="0.2">
      <c r="A16" s="7">
        <v>12</v>
      </c>
      <c r="B16" s="9" t="s">
        <v>127</v>
      </c>
      <c r="C16" s="9">
        <v>2029</v>
      </c>
      <c r="D16" s="9">
        <f>'Sumář všech příspěvků rok 2023'!H40</f>
        <v>482</v>
      </c>
      <c r="E16" s="28"/>
      <c r="F16" s="28">
        <f t="shared" si="0"/>
        <v>0</v>
      </c>
      <c r="G16" s="55"/>
    </row>
    <row r="17" spans="1:10" x14ac:dyDescent="0.2">
      <c r="A17" s="32">
        <v>13</v>
      </c>
      <c r="B17" s="33" t="s">
        <v>128</v>
      </c>
      <c r="C17" s="33">
        <v>2032</v>
      </c>
      <c r="D17" s="33">
        <f>'Sumář všech příspěvků rok 2023'!H41</f>
        <v>360</v>
      </c>
      <c r="E17" s="45"/>
      <c r="F17" s="28">
        <f t="shared" si="0"/>
        <v>0</v>
      </c>
      <c r="G17" s="55"/>
    </row>
    <row r="18" spans="1:10" x14ac:dyDescent="0.2">
      <c r="A18" s="7">
        <v>14</v>
      </c>
      <c r="B18" s="9" t="s">
        <v>129</v>
      </c>
      <c r="C18" s="9">
        <v>2033</v>
      </c>
      <c r="D18" s="9">
        <f>'Sumář všech příspěvků rok 2023'!H42</f>
        <v>446</v>
      </c>
      <c r="E18" s="28"/>
      <c r="F18" s="28">
        <f t="shared" si="0"/>
        <v>0</v>
      </c>
      <c r="G18" s="55"/>
    </row>
    <row r="19" spans="1:10" x14ac:dyDescent="0.2">
      <c r="A19" s="32">
        <v>15</v>
      </c>
      <c r="B19" s="58" t="s">
        <v>130</v>
      </c>
      <c r="C19" s="58">
        <v>2008</v>
      </c>
      <c r="D19" s="58">
        <f>'Sumář všech příspěvků rok 2023'!H43</f>
        <v>3649</v>
      </c>
      <c r="E19" s="45"/>
      <c r="F19" s="28">
        <f t="shared" si="0"/>
        <v>0</v>
      </c>
      <c r="G19" s="55"/>
      <c r="J19" s="182"/>
    </row>
    <row r="20" spans="1:10" x14ac:dyDescent="0.2">
      <c r="A20" s="7">
        <v>16</v>
      </c>
      <c r="B20" s="9" t="s">
        <v>131</v>
      </c>
      <c r="C20" s="9">
        <v>2041</v>
      </c>
      <c r="D20" s="9">
        <f>'Sumář všech příspěvků rok 2023'!H44</f>
        <v>286</v>
      </c>
      <c r="E20" s="28"/>
      <c r="F20" s="28">
        <f t="shared" si="0"/>
        <v>0</v>
      </c>
      <c r="G20" s="55"/>
    </row>
    <row r="21" spans="1:10" x14ac:dyDescent="0.2">
      <c r="A21" s="32">
        <v>17</v>
      </c>
      <c r="B21" s="33" t="s">
        <v>137</v>
      </c>
      <c r="C21" s="33">
        <v>2009</v>
      </c>
      <c r="D21" s="33">
        <f>'Sumář všech příspěvků rok 2023'!H45</f>
        <v>2836</v>
      </c>
      <c r="E21" s="45"/>
      <c r="F21" s="28">
        <f t="shared" si="0"/>
        <v>0</v>
      </c>
      <c r="G21" s="55"/>
    </row>
    <row r="22" spans="1:10" ht="13.5" thickBot="1" x14ac:dyDescent="0.25">
      <c r="A22" s="19">
        <v>18</v>
      </c>
      <c r="B22" s="9" t="s">
        <v>133</v>
      </c>
      <c r="C22" s="77">
        <v>2053</v>
      </c>
      <c r="D22" s="77">
        <f>'Sumář všech příspěvků rok 2023'!H46</f>
        <v>1323</v>
      </c>
      <c r="E22" s="28"/>
      <c r="F22" s="28">
        <f>ROUND(E22,0)</f>
        <v>0</v>
      </c>
      <c r="G22" s="55"/>
    </row>
    <row r="23" spans="1:10" ht="13.5" thickBot="1" x14ac:dyDescent="0.25">
      <c r="A23" s="20"/>
      <c r="B23" s="21"/>
      <c r="C23" s="21"/>
      <c r="D23" s="22">
        <f>SUM(D5:D22)</f>
        <v>24177</v>
      </c>
      <c r="E23" s="50">
        <f>SUM(E5:E22)</f>
        <v>0</v>
      </c>
      <c r="F23" s="50">
        <f>SUM(F5:F22)</f>
        <v>0</v>
      </c>
      <c r="G23" s="54"/>
    </row>
    <row r="25" spans="1:10" x14ac:dyDescent="0.2">
      <c r="A25" s="283"/>
    </row>
    <row r="26" spans="1:10" ht="14.25" x14ac:dyDescent="0.2">
      <c r="A26" s="444" t="s">
        <v>143</v>
      </c>
      <c r="B26" s="444"/>
      <c r="C26" s="444"/>
      <c r="D26" s="444"/>
    </row>
    <row r="27" spans="1:10" x14ac:dyDescent="0.2">
      <c r="A27" s="390">
        <f>'č.7 komunitní plánování'!A29:D29</f>
        <v>44844</v>
      </c>
    </row>
    <row r="28" spans="1:10" x14ac:dyDescent="0.2">
      <c r="E28"/>
    </row>
    <row r="29" spans="1:10" x14ac:dyDescent="0.2">
      <c r="E29"/>
    </row>
    <row r="30" spans="1:10" x14ac:dyDescent="0.2">
      <c r="E30"/>
    </row>
    <row r="31" spans="1:10" x14ac:dyDescent="0.2">
      <c r="E31"/>
    </row>
    <row r="32" spans="1:10" x14ac:dyDescent="0.2">
      <c r="E32"/>
    </row>
    <row r="33" spans="5:5" x14ac:dyDescent="0.2">
      <c r="E33"/>
    </row>
    <row r="34" spans="5:5" x14ac:dyDescent="0.2">
      <c r="E34"/>
    </row>
    <row r="35" spans="5:5" x14ac:dyDescent="0.2">
      <c r="E35"/>
    </row>
    <row r="36" spans="5:5" x14ac:dyDescent="0.2">
      <c r="E36"/>
    </row>
    <row r="37" spans="5:5" x14ac:dyDescent="0.2">
      <c r="E37"/>
    </row>
    <row r="38" spans="5:5" x14ac:dyDescent="0.2">
      <c r="E38"/>
    </row>
    <row r="39" spans="5:5" x14ac:dyDescent="0.2">
      <c r="E39"/>
    </row>
    <row r="40" spans="5:5" x14ac:dyDescent="0.2">
      <c r="E40"/>
    </row>
    <row r="41" spans="5:5" x14ac:dyDescent="0.2">
      <c r="E41"/>
    </row>
    <row r="42" spans="5:5" x14ac:dyDescent="0.2">
      <c r="E42"/>
    </row>
    <row r="43" spans="5:5" x14ac:dyDescent="0.2">
      <c r="E43"/>
    </row>
    <row r="44" spans="5:5" x14ac:dyDescent="0.2">
      <c r="E44"/>
    </row>
    <row r="45" spans="5:5" x14ac:dyDescent="0.2">
      <c r="E45"/>
    </row>
    <row r="46" spans="5:5" x14ac:dyDescent="0.2">
      <c r="E46"/>
    </row>
    <row r="47" spans="5:5" x14ac:dyDescent="0.2">
      <c r="E47"/>
    </row>
    <row r="48" spans="5:5" x14ac:dyDescent="0.2">
      <c r="E48"/>
    </row>
    <row r="49" spans="5:5" x14ac:dyDescent="0.2">
      <c r="E49"/>
    </row>
    <row r="50" spans="5:5" x14ac:dyDescent="0.2">
      <c r="E50"/>
    </row>
    <row r="51" spans="5:5" x14ac:dyDescent="0.2">
      <c r="E51"/>
    </row>
    <row r="52" spans="5:5" x14ac:dyDescent="0.2">
      <c r="E52"/>
    </row>
  </sheetData>
  <mergeCells count="1">
    <mergeCell ref="A26:D26"/>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J54"/>
  <sheetViews>
    <sheetView workbookViewId="0">
      <selection activeCell="I30" sqref="I30"/>
    </sheetView>
  </sheetViews>
  <sheetFormatPr defaultRowHeight="12.75" x14ac:dyDescent="0.2"/>
  <cols>
    <col min="2" max="2" width="24.5703125" customWidth="1"/>
    <col min="3" max="3" width="15.28515625" customWidth="1"/>
    <col min="4" max="4" width="10.42578125" customWidth="1"/>
    <col min="5" max="5" width="14.7109375" customWidth="1"/>
    <col min="6" max="6" width="1.85546875" hidden="1" customWidth="1"/>
    <col min="7" max="7" width="14.85546875" style="1" customWidth="1"/>
    <col min="8" max="8" width="17.28515625" customWidth="1"/>
    <col min="9" max="9" width="18.28515625" customWidth="1"/>
    <col min="10" max="10" width="13" customWidth="1"/>
    <col min="13" max="13" width="9.140625" customWidth="1"/>
  </cols>
  <sheetData>
    <row r="1" spans="1:9" x14ac:dyDescent="0.2">
      <c r="B1" s="5" t="s">
        <v>206</v>
      </c>
      <c r="C1" s="5"/>
      <c r="D1" s="5"/>
      <c r="G1" s="4"/>
    </row>
    <row r="2" spans="1:9" ht="13.5" thickBot="1" x14ac:dyDescent="0.25">
      <c r="A2" s="59"/>
      <c r="E2" s="225">
        <v>800000</v>
      </c>
      <c r="G2" s="342" t="s">
        <v>207</v>
      </c>
    </row>
    <row r="3" spans="1:9" s="180" customFormat="1" ht="38.25" x14ac:dyDescent="0.2">
      <c r="A3" s="176"/>
      <c r="B3" s="177" t="s">
        <v>106</v>
      </c>
      <c r="C3" s="217" t="str">
        <f>'č. 1 čl. přísp.'!D3</f>
        <v>počet obyvatel k 1. 1. 2022 dle MF</v>
      </c>
      <c r="D3" s="217" t="s">
        <v>208</v>
      </c>
      <c r="E3" s="226" t="s">
        <v>209</v>
      </c>
      <c r="F3" s="218"/>
      <c r="G3" s="179" t="s">
        <v>142</v>
      </c>
      <c r="I3" s="382"/>
    </row>
    <row r="4" spans="1:9" ht="5.25" customHeight="1" x14ac:dyDescent="0.2">
      <c r="A4" s="46"/>
      <c r="B4" s="47"/>
      <c r="C4" s="75"/>
      <c r="D4" s="75"/>
      <c r="E4" s="47"/>
      <c r="F4" s="155"/>
      <c r="G4" s="48"/>
    </row>
    <row r="5" spans="1:9" x14ac:dyDescent="0.2">
      <c r="A5" s="32">
        <v>1</v>
      </c>
      <c r="B5" s="33" t="s">
        <v>116</v>
      </c>
      <c r="C5" s="383">
        <f>'Sumář všech příspěvků rok 2023'!H29</f>
        <v>691</v>
      </c>
      <c r="D5" s="391">
        <f t="shared" ref="D5:D22" si="0">E$2/2/18</f>
        <v>22222.222222222223</v>
      </c>
      <c r="E5" s="383">
        <f t="shared" ref="E5:E22" si="1">E$2/2/C$23*C5</f>
        <v>11432.353062828308</v>
      </c>
      <c r="F5" s="45">
        <f>(SUM(C5*E5))</f>
        <v>7899755.9664143603</v>
      </c>
      <c r="G5" s="383">
        <f>ROUND(E5,0)+D5</f>
        <v>33654.222222222219</v>
      </c>
      <c r="I5" s="55"/>
    </row>
    <row r="6" spans="1:9" x14ac:dyDescent="0.2">
      <c r="A6" s="7">
        <v>2</v>
      </c>
      <c r="B6" s="9" t="s">
        <v>117</v>
      </c>
      <c r="C6" s="384">
        <f>'Sumář všech příspěvků rok 2023'!H30</f>
        <v>945</v>
      </c>
      <c r="D6" s="392">
        <f t="shared" si="0"/>
        <v>22222.222222222223</v>
      </c>
      <c r="E6" s="384">
        <f t="shared" si="1"/>
        <v>15634.694130785458</v>
      </c>
      <c r="F6" s="28">
        <f t="shared" ref="F6:F22" si="2">SUM(C6*E6)</f>
        <v>14774785.953592258</v>
      </c>
      <c r="G6" s="384">
        <f t="shared" ref="G6:G22" si="3">ROUND(E6,0)+D6</f>
        <v>37857.222222222219</v>
      </c>
      <c r="I6" s="55"/>
    </row>
    <row r="7" spans="1:9" x14ac:dyDescent="0.2">
      <c r="A7" s="32">
        <v>3</v>
      </c>
      <c r="B7" s="33" t="s">
        <v>118</v>
      </c>
      <c r="C7" s="383">
        <f>'Sumář všech příspěvků rok 2023'!H31</f>
        <v>318</v>
      </c>
      <c r="D7" s="391">
        <f t="shared" si="0"/>
        <v>22222.222222222223</v>
      </c>
      <c r="E7" s="383">
        <f t="shared" si="1"/>
        <v>5261.198659883361</v>
      </c>
      <c r="F7" s="45">
        <f t="shared" si="2"/>
        <v>1673061.1738429088</v>
      </c>
      <c r="G7" s="383">
        <f t="shared" si="3"/>
        <v>27483.222222222223</v>
      </c>
      <c r="I7" s="55"/>
    </row>
    <row r="8" spans="1:9" x14ac:dyDescent="0.2">
      <c r="A8" s="7">
        <v>4</v>
      </c>
      <c r="B8" s="9" t="s">
        <v>119</v>
      </c>
      <c r="C8" s="384">
        <f>'Sumář všech příspěvků rok 2023'!H32</f>
        <v>703</v>
      </c>
      <c r="D8" s="392">
        <f t="shared" si="0"/>
        <v>22222.222222222223</v>
      </c>
      <c r="E8" s="384">
        <f t="shared" si="1"/>
        <v>11630.888861314474</v>
      </c>
      <c r="F8" s="28">
        <f t="shared" si="2"/>
        <v>8176514.8695040746</v>
      </c>
      <c r="G8" s="384">
        <f t="shared" si="3"/>
        <v>33853.222222222219</v>
      </c>
      <c r="I8" s="55"/>
    </row>
    <row r="9" spans="1:9" x14ac:dyDescent="0.2">
      <c r="A9" s="32">
        <v>5</v>
      </c>
      <c r="B9" s="33" t="s">
        <v>120</v>
      </c>
      <c r="C9" s="383">
        <f>'Sumář všech příspěvků rok 2023'!H33</f>
        <v>558</v>
      </c>
      <c r="D9" s="391">
        <f t="shared" si="0"/>
        <v>22222.222222222223</v>
      </c>
      <c r="E9" s="383">
        <f t="shared" si="1"/>
        <v>9231.9146296066519</v>
      </c>
      <c r="F9" s="45">
        <f t="shared" si="2"/>
        <v>5151408.3633205118</v>
      </c>
      <c r="G9" s="383">
        <f t="shared" si="3"/>
        <v>31454.222222222223</v>
      </c>
      <c r="I9" s="55"/>
    </row>
    <row r="10" spans="1:9" x14ac:dyDescent="0.2">
      <c r="A10" s="7">
        <v>6</v>
      </c>
      <c r="B10" s="9" t="s">
        <v>121</v>
      </c>
      <c r="C10" s="384">
        <f>'Sumář všech příspěvků rok 2023'!H34</f>
        <v>7301</v>
      </c>
      <c r="D10" s="392">
        <f t="shared" si="0"/>
        <v>22222.222222222223</v>
      </c>
      <c r="E10" s="384">
        <f t="shared" si="1"/>
        <v>120792.48872895728</v>
      </c>
      <c r="F10" s="28">
        <f t="shared" si="2"/>
        <v>881905960.2101171</v>
      </c>
      <c r="G10" s="384">
        <f t="shared" si="3"/>
        <v>143014.22222222222</v>
      </c>
      <c r="I10" s="55"/>
    </row>
    <row r="11" spans="1:9" x14ac:dyDescent="0.2">
      <c r="A11" s="32">
        <v>7</v>
      </c>
      <c r="B11" s="33" t="s">
        <v>122</v>
      </c>
      <c r="C11" s="383">
        <f>'Sumář všech příspěvků rok 2023'!H35</f>
        <v>443</v>
      </c>
      <c r="D11" s="391">
        <f t="shared" si="0"/>
        <v>22222.222222222223</v>
      </c>
      <c r="E11" s="383">
        <f t="shared" si="1"/>
        <v>7329.279894114241</v>
      </c>
      <c r="F11" s="45">
        <f t="shared" si="2"/>
        <v>3246870.9930926086</v>
      </c>
      <c r="G11" s="383">
        <f t="shared" si="3"/>
        <v>29551.222222222223</v>
      </c>
      <c r="I11" s="55"/>
    </row>
    <row r="12" spans="1:9" x14ac:dyDescent="0.2">
      <c r="A12" s="7">
        <v>8</v>
      </c>
      <c r="B12" s="9" t="s">
        <v>123</v>
      </c>
      <c r="C12" s="384">
        <f>'Sumář všech příspěvků rok 2023'!H36</f>
        <v>2699</v>
      </c>
      <c r="D12" s="392">
        <f t="shared" si="0"/>
        <v>22222.222222222223</v>
      </c>
      <c r="E12" s="384">
        <f t="shared" si="1"/>
        <v>44654.010009513178</v>
      </c>
      <c r="F12" s="28">
        <f t="shared" si="2"/>
        <v>120521173.01567607</v>
      </c>
      <c r="G12" s="384">
        <f t="shared" si="3"/>
        <v>66876.222222222219</v>
      </c>
      <c r="I12" s="55"/>
    </row>
    <row r="13" spans="1:9" x14ac:dyDescent="0.2">
      <c r="A13" s="32">
        <v>9</v>
      </c>
      <c r="B13" s="33" t="s">
        <v>124</v>
      </c>
      <c r="C13" s="383">
        <f>'Sumář všech příspěvků rok 2023'!H37</f>
        <v>266</v>
      </c>
      <c r="D13" s="391">
        <f t="shared" si="0"/>
        <v>22222.222222222223</v>
      </c>
      <c r="E13" s="383">
        <f t="shared" si="1"/>
        <v>4400.8768664433146</v>
      </c>
      <c r="F13" s="45">
        <f t="shared" si="2"/>
        <v>1170633.2464739217</v>
      </c>
      <c r="G13" s="383">
        <f t="shared" si="3"/>
        <v>26623.222222222223</v>
      </c>
      <c r="I13" s="55"/>
    </row>
    <row r="14" spans="1:9" x14ac:dyDescent="0.2">
      <c r="A14" s="7">
        <v>10</v>
      </c>
      <c r="B14" s="9" t="s">
        <v>125</v>
      </c>
      <c r="C14" s="384">
        <f>'Sumář všech příspěvků rok 2023'!H38</f>
        <v>227</v>
      </c>
      <c r="D14" s="392">
        <f t="shared" si="0"/>
        <v>22222.222222222223</v>
      </c>
      <c r="E14" s="384">
        <f t="shared" si="1"/>
        <v>3755.6355213632796</v>
      </c>
      <c r="F14" s="28">
        <f t="shared" si="2"/>
        <v>852529.26334946451</v>
      </c>
      <c r="G14" s="384">
        <f t="shared" si="3"/>
        <v>25978.222222222223</v>
      </c>
      <c r="I14" s="55"/>
    </row>
    <row r="15" spans="1:9" x14ac:dyDescent="0.2">
      <c r="A15" s="32">
        <v>11</v>
      </c>
      <c r="B15" s="33" t="s">
        <v>126</v>
      </c>
      <c r="C15" s="383">
        <f>'Sumář všech příspěvků rok 2023'!H39</f>
        <v>644</v>
      </c>
      <c r="D15" s="391">
        <f t="shared" si="0"/>
        <v>22222.222222222223</v>
      </c>
      <c r="E15" s="383">
        <f t="shared" si="1"/>
        <v>10654.754518757498</v>
      </c>
      <c r="F15" s="45">
        <f t="shared" si="2"/>
        <v>6861661.9100798285</v>
      </c>
      <c r="G15" s="383">
        <f t="shared" si="3"/>
        <v>32877.222222222219</v>
      </c>
      <c r="I15" s="55"/>
    </row>
    <row r="16" spans="1:9" x14ac:dyDescent="0.2">
      <c r="A16" s="7">
        <v>12</v>
      </c>
      <c r="B16" s="9" t="s">
        <v>127</v>
      </c>
      <c r="C16" s="384">
        <f>'Sumář všech příspěvků rok 2023'!H40</f>
        <v>482</v>
      </c>
      <c r="D16" s="392">
        <f t="shared" si="0"/>
        <v>22222.222222222223</v>
      </c>
      <c r="E16" s="384">
        <f t="shared" si="1"/>
        <v>7974.5212391942759</v>
      </c>
      <c r="F16" s="28">
        <f t="shared" si="2"/>
        <v>3843719.2372916411</v>
      </c>
      <c r="G16" s="384">
        <f t="shared" si="3"/>
        <v>30197.222222222223</v>
      </c>
      <c r="I16" s="55"/>
    </row>
    <row r="17" spans="1:10" x14ac:dyDescent="0.2">
      <c r="A17" s="32">
        <v>13</v>
      </c>
      <c r="B17" s="33" t="s">
        <v>128</v>
      </c>
      <c r="C17" s="383">
        <f>'Sumář všech příspěvků rok 2023'!H41</f>
        <v>360</v>
      </c>
      <c r="D17" s="391">
        <f t="shared" si="0"/>
        <v>22222.222222222223</v>
      </c>
      <c r="E17" s="383">
        <f t="shared" si="1"/>
        <v>5956.0739545849365</v>
      </c>
      <c r="F17" s="45">
        <f t="shared" si="2"/>
        <v>2144186.6236505769</v>
      </c>
      <c r="G17" s="383">
        <f t="shared" si="3"/>
        <v>28178.222222222223</v>
      </c>
      <c r="I17" s="55"/>
    </row>
    <row r="18" spans="1:10" x14ac:dyDescent="0.2">
      <c r="A18" s="7">
        <v>14</v>
      </c>
      <c r="B18" s="9" t="s">
        <v>129</v>
      </c>
      <c r="C18" s="384">
        <f>'Sumář všech příspěvků rok 2023'!H42</f>
        <v>446</v>
      </c>
      <c r="D18" s="392">
        <f t="shared" si="0"/>
        <v>22222.222222222223</v>
      </c>
      <c r="E18" s="384">
        <f t="shared" si="1"/>
        <v>7378.9138437357824</v>
      </c>
      <c r="F18" s="28">
        <f t="shared" si="2"/>
        <v>3290995.5743061588</v>
      </c>
      <c r="G18" s="384">
        <f t="shared" si="3"/>
        <v>29601.222222222223</v>
      </c>
      <c r="I18" s="55"/>
    </row>
    <row r="19" spans="1:10" x14ac:dyDescent="0.2">
      <c r="A19" s="32">
        <v>15</v>
      </c>
      <c r="B19" s="58" t="s">
        <v>130</v>
      </c>
      <c r="C19" s="383">
        <f>'Sumář všech příspěvků rok 2023'!H43</f>
        <v>3649</v>
      </c>
      <c r="D19" s="391">
        <f t="shared" si="0"/>
        <v>22222.222222222223</v>
      </c>
      <c r="E19" s="383">
        <f t="shared" si="1"/>
        <v>60371.427389667871</v>
      </c>
      <c r="F19" s="45">
        <f t="shared" si="2"/>
        <v>220295338.54489806</v>
      </c>
      <c r="G19" s="383">
        <f t="shared" si="3"/>
        <v>82593.222222222219</v>
      </c>
      <c r="I19" s="55"/>
    </row>
    <row r="20" spans="1:10" x14ac:dyDescent="0.2">
      <c r="A20" s="7">
        <v>16</v>
      </c>
      <c r="B20" s="9" t="s">
        <v>131</v>
      </c>
      <c r="C20" s="384">
        <f>'Sumář všech příspěvků rok 2023'!H44</f>
        <v>286</v>
      </c>
      <c r="D20" s="392">
        <f t="shared" si="0"/>
        <v>22222.222222222223</v>
      </c>
      <c r="E20" s="384">
        <f t="shared" si="1"/>
        <v>4731.7698639202554</v>
      </c>
      <c r="F20" s="28">
        <f t="shared" si="2"/>
        <v>1353286.181081193</v>
      </c>
      <c r="G20" s="384">
        <f t="shared" si="3"/>
        <v>26954.222222222223</v>
      </c>
      <c r="I20" s="55"/>
    </row>
    <row r="21" spans="1:10" x14ac:dyDescent="0.2">
      <c r="A21" s="32">
        <v>17</v>
      </c>
      <c r="B21" s="33" t="s">
        <v>137</v>
      </c>
      <c r="C21" s="383">
        <f>'Sumář všech příspěvků rok 2023'!H45</f>
        <v>2836</v>
      </c>
      <c r="D21" s="391">
        <f t="shared" si="0"/>
        <v>22222.222222222223</v>
      </c>
      <c r="E21" s="383">
        <f t="shared" si="1"/>
        <v>46920.627042230226</v>
      </c>
      <c r="F21" s="45">
        <f t="shared" si="2"/>
        <v>133066898.29176491</v>
      </c>
      <c r="G21" s="383">
        <f t="shared" si="3"/>
        <v>69143.222222222219</v>
      </c>
      <c r="I21" s="55"/>
    </row>
    <row r="22" spans="1:10" ht="13.5" thickBot="1" x14ac:dyDescent="0.25">
      <c r="A22" s="19">
        <v>18</v>
      </c>
      <c r="B22" s="9" t="s">
        <v>133</v>
      </c>
      <c r="C22" s="384">
        <f>'Sumář všech příspěvků rok 2023'!H46</f>
        <v>1323</v>
      </c>
      <c r="D22" s="392">
        <f t="shared" si="0"/>
        <v>22222.222222222223</v>
      </c>
      <c r="E22" s="384">
        <f t="shared" si="1"/>
        <v>21888.571783099644</v>
      </c>
      <c r="F22" s="29">
        <f t="shared" si="2"/>
        <v>28958580.46904083</v>
      </c>
      <c r="G22" s="384">
        <f t="shared" si="3"/>
        <v>44111.222222222219</v>
      </c>
      <c r="I22" s="55"/>
    </row>
    <row r="23" spans="1:10" ht="13.5" thickBot="1" x14ac:dyDescent="0.25">
      <c r="A23" s="20"/>
      <c r="B23" s="21"/>
      <c r="C23" s="193">
        <f>SUM(C5:C22)</f>
        <v>24177</v>
      </c>
      <c r="D23" s="193">
        <f>SUM(D5:D22)</f>
        <v>400000.00000000017</v>
      </c>
      <c r="E23" s="193">
        <f>SUM(E5:E22)</f>
        <v>400000</v>
      </c>
      <c r="F23" s="50">
        <f>SUM(F5:F22)</f>
        <v>1445187359.8874967</v>
      </c>
      <c r="G23" s="159">
        <f>SUM(G5:G22)</f>
        <v>800001.00000000023</v>
      </c>
      <c r="H23" s="6"/>
      <c r="I23" s="54"/>
      <c r="J23" s="119"/>
    </row>
    <row r="25" spans="1:10" x14ac:dyDescent="0.2">
      <c r="A25" s="283"/>
    </row>
    <row r="26" spans="1:10" ht="12" customHeight="1" x14ac:dyDescent="0.2">
      <c r="A26" s="456"/>
      <c r="B26" s="457"/>
      <c r="C26" s="457"/>
      <c r="D26" s="457"/>
      <c r="E26" s="457"/>
      <c r="F26" s="457"/>
      <c r="G26" s="457"/>
      <c r="H26" s="457"/>
    </row>
    <row r="27" spans="1:10" x14ac:dyDescent="0.2">
      <c r="A27" s="5" t="s">
        <v>210</v>
      </c>
      <c r="B27" s="5"/>
      <c r="C27" s="5"/>
      <c r="D27" s="5"/>
      <c r="E27" s="5"/>
      <c r="F27" s="5"/>
      <c r="G27" s="5"/>
      <c r="H27" s="5"/>
    </row>
    <row r="28" spans="1:10" ht="12.75" customHeight="1" x14ac:dyDescent="0.2">
      <c r="A28" s="454">
        <f>'č. 8 - xxxx'!A27</f>
        <v>44844</v>
      </c>
      <c r="B28" s="455"/>
      <c r="C28" s="455"/>
      <c r="D28" s="455"/>
      <c r="E28" s="455"/>
      <c r="F28" s="455"/>
      <c r="G28" s="455"/>
      <c r="H28" s="455"/>
    </row>
    <row r="30" spans="1:10" ht="267" customHeight="1" x14ac:dyDescent="0.2">
      <c r="A30" s="449" t="s">
        <v>211</v>
      </c>
      <c r="B30" s="449"/>
      <c r="C30" s="449"/>
      <c r="D30" s="449"/>
      <c r="E30" s="449"/>
      <c r="F30" s="449"/>
      <c r="G30" s="449"/>
    </row>
    <row r="31" spans="1:10" ht="14.25" customHeight="1" x14ac:dyDescent="0.2">
      <c r="A31" s="449"/>
      <c r="B31" s="449"/>
      <c r="C31" s="449"/>
      <c r="D31" s="449"/>
      <c r="E31" s="449"/>
      <c r="F31" s="449"/>
      <c r="G31" s="449"/>
    </row>
    <row r="32" spans="1:10" ht="15.75" customHeight="1" x14ac:dyDescent="0.2">
      <c r="A32" s="449"/>
      <c r="B32" s="449"/>
      <c r="C32" s="449"/>
      <c r="D32" s="449"/>
      <c r="E32" s="449"/>
      <c r="F32" s="449"/>
      <c r="G32" s="449"/>
    </row>
    <row r="33" spans="1:7" x14ac:dyDescent="0.2">
      <c r="A33" s="449"/>
      <c r="B33" s="449"/>
      <c r="C33" s="449"/>
      <c r="D33" s="449"/>
      <c r="E33" s="449"/>
      <c r="F33" s="449"/>
      <c r="G33" s="449"/>
    </row>
    <row r="34" spans="1:7" x14ac:dyDescent="0.2">
      <c r="A34" s="449"/>
      <c r="B34" s="449"/>
      <c r="C34" s="449"/>
      <c r="D34" s="449"/>
      <c r="E34" s="449"/>
      <c r="F34" s="449"/>
      <c r="G34" s="449"/>
    </row>
    <row r="35" spans="1:7" x14ac:dyDescent="0.2">
      <c r="A35" s="449"/>
      <c r="B35" s="449"/>
      <c r="C35" s="449"/>
      <c r="D35" s="449"/>
      <c r="E35" s="449"/>
      <c r="F35" s="449"/>
      <c r="G35" s="449"/>
    </row>
    <row r="36" spans="1:7" x14ac:dyDescent="0.2">
      <c r="A36" s="449"/>
      <c r="B36" s="449"/>
      <c r="C36" s="449"/>
      <c r="D36" s="449"/>
      <c r="E36" s="449"/>
      <c r="F36" s="449"/>
      <c r="G36" s="449"/>
    </row>
    <row r="37" spans="1:7" x14ac:dyDescent="0.2">
      <c r="A37" s="449"/>
      <c r="B37" s="449"/>
      <c r="C37" s="449"/>
      <c r="D37" s="449"/>
      <c r="E37" s="449"/>
      <c r="F37" s="449"/>
      <c r="G37" s="449"/>
    </row>
    <row r="38" spans="1:7" x14ac:dyDescent="0.2">
      <c r="A38" s="449"/>
      <c r="B38" s="449"/>
      <c r="C38" s="449"/>
      <c r="D38" s="449"/>
      <c r="E38" s="449"/>
      <c r="F38" s="449"/>
      <c r="G38" s="449"/>
    </row>
    <row r="39" spans="1:7" x14ac:dyDescent="0.2">
      <c r="A39" s="449"/>
      <c r="B39" s="449"/>
      <c r="C39" s="449"/>
      <c r="D39" s="449"/>
      <c r="E39" s="449"/>
      <c r="F39" s="449"/>
      <c r="G39" s="449"/>
    </row>
    <row r="40" spans="1:7" x14ac:dyDescent="0.2">
      <c r="A40" s="449"/>
      <c r="B40" s="449"/>
      <c r="C40" s="449"/>
      <c r="D40" s="449"/>
      <c r="E40" s="449"/>
      <c r="F40" s="449"/>
      <c r="G40" s="449"/>
    </row>
    <row r="41" spans="1:7" x14ac:dyDescent="0.2">
      <c r="A41" s="449"/>
      <c r="B41" s="449"/>
      <c r="C41" s="449"/>
      <c r="D41" s="449"/>
      <c r="E41" s="449"/>
      <c r="F41" s="449"/>
      <c r="G41" s="449"/>
    </row>
    <row r="42" spans="1:7" x14ac:dyDescent="0.2">
      <c r="A42" s="449"/>
      <c r="B42" s="449"/>
      <c r="C42" s="449"/>
      <c r="D42" s="449"/>
      <c r="E42" s="449"/>
      <c r="F42" s="449"/>
      <c r="G42" s="449"/>
    </row>
    <row r="43" spans="1:7" x14ac:dyDescent="0.2">
      <c r="A43" s="449"/>
      <c r="B43" s="449"/>
      <c r="C43" s="449"/>
      <c r="D43" s="449"/>
      <c r="E43" s="449"/>
      <c r="F43" s="449"/>
      <c r="G43" s="449"/>
    </row>
    <row r="44" spans="1:7" x14ac:dyDescent="0.2">
      <c r="A44" s="449"/>
      <c r="B44" s="449"/>
      <c r="C44" s="449"/>
      <c r="D44" s="449"/>
      <c r="E44" s="449"/>
      <c r="F44" s="449"/>
      <c r="G44" s="449"/>
    </row>
    <row r="45" spans="1:7" x14ac:dyDescent="0.2">
      <c r="A45" s="449"/>
      <c r="B45" s="449"/>
      <c r="C45" s="449"/>
      <c r="D45" s="449"/>
      <c r="E45" s="449"/>
      <c r="F45" s="449"/>
      <c r="G45" s="449"/>
    </row>
    <row r="46" spans="1:7" x14ac:dyDescent="0.2">
      <c r="A46" s="449"/>
      <c r="B46" s="449"/>
      <c r="C46" s="449"/>
      <c r="D46" s="449"/>
      <c r="E46" s="449"/>
      <c r="F46" s="449"/>
      <c r="G46" s="449"/>
    </row>
    <row r="47" spans="1:7" x14ac:dyDescent="0.2">
      <c r="A47" s="449"/>
      <c r="B47" s="449"/>
      <c r="C47" s="449"/>
      <c r="D47" s="449"/>
      <c r="E47" s="449"/>
      <c r="F47" s="449"/>
      <c r="G47" s="449"/>
    </row>
    <row r="48" spans="1:7" x14ac:dyDescent="0.2">
      <c r="A48" s="449"/>
      <c r="B48" s="449"/>
      <c r="C48" s="449"/>
      <c r="D48" s="449"/>
      <c r="E48" s="449"/>
      <c r="F48" s="449"/>
      <c r="G48" s="449"/>
    </row>
    <row r="49" spans="7:7" ht="12.75" customHeight="1" x14ac:dyDescent="0.2">
      <c r="G49"/>
    </row>
    <row r="50" spans="7:7" x14ac:dyDescent="0.2">
      <c r="G50"/>
    </row>
    <row r="51" spans="7:7" x14ac:dyDescent="0.2">
      <c r="G51"/>
    </row>
    <row r="52" spans="7:7" x14ac:dyDescent="0.2">
      <c r="G52"/>
    </row>
    <row r="53" spans="7:7" x14ac:dyDescent="0.2">
      <c r="G53"/>
    </row>
    <row r="54" spans="7:7" x14ac:dyDescent="0.2">
      <c r="G54"/>
    </row>
  </sheetData>
  <mergeCells count="3">
    <mergeCell ref="A26:H26"/>
    <mergeCell ref="A28:H28"/>
    <mergeCell ref="A30:G48"/>
  </mergeCell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8"/>
  <sheetViews>
    <sheetView topLeftCell="A4" workbookViewId="0">
      <selection activeCell="A29" sqref="A29"/>
    </sheetView>
  </sheetViews>
  <sheetFormatPr defaultRowHeight="12.75" x14ac:dyDescent="0.2"/>
  <cols>
    <col min="1" max="1" width="4.7109375" customWidth="1"/>
    <col min="2" max="2" width="22.85546875" customWidth="1"/>
    <col min="3" max="3" width="15.28515625" customWidth="1"/>
    <col min="4" max="4" width="13.85546875" customWidth="1"/>
    <col min="5" max="5" width="14.28515625" hidden="1" customWidth="1"/>
    <col min="6" max="6" width="19.140625" customWidth="1"/>
    <col min="7" max="7" width="15" customWidth="1"/>
  </cols>
  <sheetData>
    <row r="1" spans="1:8" x14ac:dyDescent="0.2">
      <c r="B1" s="5" t="s">
        <v>212</v>
      </c>
      <c r="C1" s="5"/>
      <c r="D1" s="5"/>
      <c r="G1" s="4"/>
    </row>
    <row r="2" spans="1:8" ht="13.5" thickBot="1" x14ac:dyDescent="0.25">
      <c r="A2" s="59"/>
      <c r="B2" t="s">
        <v>213</v>
      </c>
      <c r="F2" t="s">
        <v>214</v>
      </c>
      <c r="G2" s="225">
        <v>0</v>
      </c>
    </row>
    <row r="3" spans="1:8" s="180" customFormat="1" ht="51" x14ac:dyDescent="0.2">
      <c r="A3" s="176"/>
      <c r="B3" s="177" t="s">
        <v>106</v>
      </c>
      <c r="C3" s="217" t="str">
        <f>'č. 1 čl. přísp.'!D3</f>
        <v>počet obyvatel k 1. 1. 2022 dle MF</v>
      </c>
      <c r="D3" s="217" t="s">
        <v>215</v>
      </c>
      <c r="E3" s="226" t="s">
        <v>209</v>
      </c>
      <c r="F3" s="237" t="s">
        <v>216</v>
      </c>
      <c r="H3" s="382"/>
    </row>
    <row r="4" spans="1:8" ht="14.25" customHeight="1" x14ac:dyDescent="0.2">
      <c r="A4" s="46"/>
      <c r="B4" s="47"/>
      <c r="C4" s="75"/>
      <c r="D4" s="238">
        <f>G2/2</f>
        <v>0</v>
      </c>
      <c r="E4" s="47"/>
      <c r="F4" s="48"/>
    </row>
    <row r="5" spans="1:8" x14ac:dyDescent="0.2">
      <c r="A5" s="32">
        <v>1</v>
      </c>
      <c r="B5" s="33" t="s">
        <v>116</v>
      </c>
      <c r="C5" s="383">
        <f>'Sumář všech příspěvků rok 2023'!H29</f>
        <v>691</v>
      </c>
      <c r="D5" s="391"/>
      <c r="E5" s="393">
        <f t="shared" ref="E5:E22" si="0">G$2/2/C$23*C5</f>
        <v>0</v>
      </c>
      <c r="F5" s="393">
        <f>ROUND(E5,0)+D5</f>
        <v>0</v>
      </c>
      <c r="H5" s="55"/>
    </row>
    <row r="6" spans="1:8" x14ac:dyDescent="0.2">
      <c r="A6" s="7">
        <v>2</v>
      </c>
      <c r="B6" s="9" t="s">
        <v>117</v>
      </c>
      <c r="C6" s="384">
        <f>'Sumář všech příspěvků rok 2023'!H30</f>
        <v>945</v>
      </c>
      <c r="D6" s="392"/>
      <c r="E6" s="394">
        <f t="shared" si="0"/>
        <v>0</v>
      </c>
      <c r="F6" s="394">
        <f t="shared" ref="F6:F22" si="1">ROUND(E6,0)+D6</f>
        <v>0</v>
      </c>
      <c r="H6" s="55"/>
    </row>
    <row r="7" spans="1:8" x14ac:dyDescent="0.2">
      <c r="A7" s="32">
        <v>3</v>
      </c>
      <c r="B7" s="33" t="s">
        <v>118</v>
      </c>
      <c r="C7" s="383">
        <f>'Sumář všech příspěvků rok 2023'!H31</f>
        <v>318</v>
      </c>
      <c r="D7" s="391"/>
      <c r="E7" s="393">
        <f t="shared" si="0"/>
        <v>0</v>
      </c>
      <c r="F7" s="393">
        <f t="shared" si="1"/>
        <v>0</v>
      </c>
      <c r="H7" s="55"/>
    </row>
    <row r="8" spans="1:8" x14ac:dyDescent="0.2">
      <c r="A8" s="7">
        <v>4</v>
      </c>
      <c r="B8" s="9" t="s">
        <v>119</v>
      </c>
      <c r="C8" s="384">
        <f>'Sumář všech příspěvků rok 2023'!H32</f>
        <v>703</v>
      </c>
      <c r="D8" s="392"/>
      <c r="E8" s="394">
        <f t="shared" si="0"/>
        <v>0</v>
      </c>
      <c r="F8" s="394">
        <f t="shared" si="1"/>
        <v>0</v>
      </c>
      <c r="H8" s="55"/>
    </row>
    <row r="9" spans="1:8" x14ac:dyDescent="0.2">
      <c r="A9" s="32">
        <v>5</v>
      </c>
      <c r="B9" s="33" t="s">
        <v>120</v>
      </c>
      <c r="C9" s="383">
        <f>'Sumář všech příspěvků rok 2023'!H33</f>
        <v>558</v>
      </c>
      <c r="D9" s="391"/>
      <c r="E9" s="393">
        <f t="shared" si="0"/>
        <v>0</v>
      </c>
      <c r="F9" s="393">
        <f>ROUND(E9,0)+D9</f>
        <v>0</v>
      </c>
      <c r="H9" s="55"/>
    </row>
    <row r="10" spans="1:8" x14ac:dyDescent="0.2">
      <c r="A10" s="7">
        <v>6</v>
      </c>
      <c r="B10" s="9" t="s">
        <v>121</v>
      </c>
      <c r="C10" s="384">
        <f>'Sumář všech příspěvků rok 2023'!H34</f>
        <v>7301</v>
      </c>
      <c r="D10" s="392"/>
      <c r="E10" s="394">
        <f t="shared" si="0"/>
        <v>0</v>
      </c>
      <c r="F10" s="394">
        <f>ROUND(E10,0)+D10</f>
        <v>0</v>
      </c>
      <c r="H10" s="55"/>
    </row>
    <row r="11" spans="1:8" x14ac:dyDescent="0.2">
      <c r="A11" s="32">
        <v>7</v>
      </c>
      <c r="B11" s="33" t="s">
        <v>122</v>
      </c>
      <c r="C11" s="383">
        <f>'Sumář všech příspěvků rok 2023'!H35</f>
        <v>443</v>
      </c>
      <c r="D11" s="391"/>
      <c r="E11" s="393">
        <f t="shared" si="0"/>
        <v>0</v>
      </c>
      <c r="F11" s="393">
        <f t="shared" si="1"/>
        <v>0</v>
      </c>
      <c r="H11" s="55"/>
    </row>
    <row r="12" spans="1:8" x14ac:dyDescent="0.2">
      <c r="A12" s="7">
        <v>8</v>
      </c>
      <c r="B12" s="9" t="s">
        <v>123</v>
      </c>
      <c r="C12" s="384">
        <f>'Sumář všech příspěvků rok 2023'!H36</f>
        <v>2699</v>
      </c>
      <c r="D12" s="392"/>
      <c r="E12" s="394">
        <f t="shared" si="0"/>
        <v>0</v>
      </c>
      <c r="F12" s="394">
        <f t="shared" si="1"/>
        <v>0</v>
      </c>
      <c r="H12" s="55"/>
    </row>
    <row r="13" spans="1:8" x14ac:dyDescent="0.2">
      <c r="A13" s="32">
        <v>9</v>
      </c>
      <c r="B13" s="33" t="s">
        <v>124</v>
      </c>
      <c r="C13" s="383">
        <f>'Sumář všech příspěvků rok 2023'!H37</f>
        <v>266</v>
      </c>
      <c r="D13" s="391"/>
      <c r="E13" s="393">
        <f t="shared" si="0"/>
        <v>0</v>
      </c>
      <c r="F13" s="393">
        <f t="shared" si="1"/>
        <v>0</v>
      </c>
      <c r="H13" s="55"/>
    </row>
    <row r="14" spans="1:8" x14ac:dyDescent="0.2">
      <c r="A14" s="7">
        <v>10</v>
      </c>
      <c r="B14" s="9" t="s">
        <v>125</v>
      </c>
      <c r="C14" s="384">
        <f>'Sumář všech příspěvků rok 2023'!H38</f>
        <v>227</v>
      </c>
      <c r="D14" s="392"/>
      <c r="E14" s="394">
        <f t="shared" si="0"/>
        <v>0</v>
      </c>
      <c r="F14" s="394">
        <f t="shared" si="1"/>
        <v>0</v>
      </c>
      <c r="H14" s="55"/>
    </row>
    <row r="15" spans="1:8" x14ac:dyDescent="0.2">
      <c r="A15" s="32">
        <v>11</v>
      </c>
      <c r="B15" s="33" t="s">
        <v>126</v>
      </c>
      <c r="C15" s="383">
        <f>'Sumář všech příspěvků rok 2023'!H39</f>
        <v>644</v>
      </c>
      <c r="D15" s="391"/>
      <c r="E15" s="393">
        <f t="shared" si="0"/>
        <v>0</v>
      </c>
      <c r="F15" s="393">
        <f t="shared" si="1"/>
        <v>0</v>
      </c>
      <c r="H15" s="55"/>
    </row>
    <row r="16" spans="1:8" x14ac:dyDescent="0.2">
      <c r="A16" s="7">
        <v>12</v>
      </c>
      <c r="B16" s="9" t="s">
        <v>127</v>
      </c>
      <c r="C16" s="384">
        <f>'Sumář všech příspěvků rok 2023'!H40</f>
        <v>482</v>
      </c>
      <c r="D16" s="392"/>
      <c r="E16" s="394">
        <f t="shared" si="0"/>
        <v>0</v>
      </c>
      <c r="F16" s="394">
        <f t="shared" si="1"/>
        <v>0</v>
      </c>
      <c r="H16" s="55"/>
    </row>
    <row r="17" spans="1:9" x14ac:dyDescent="0.2">
      <c r="A17" s="32">
        <v>13</v>
      </c>
      <c r="B17" s="33" t="s">
        <v>128</v>
      </c>
      <c r="C17" s="383">
        <f>'Sumář všech příspěvků rok 2023'!H41</f>
        <v>360</v>
      </c>
      <c r="D17" s="391"/>
      <c r="E17" s="393">
        <f t="shared" si="0"/>
        <v>0</v>
      </c>
      <c r="F17" s="393">
        <f t="shared" si="1"/>
        <v>0</v>
      </c>
      <c r="H17" s="55"/>
    </row>
    <row r="18" spans="1:9" x14ac:dyDescent="0.2">
      <c r="A18" s="7">
        <v>14</v>
      </c>
      <c r="B18" s="9" t="s">
        <v>129</v>
      </c>
      <c r="C18" s="384">
        <f>'Sumář všech příspěvků rok 2023'!H42</f>
        <v>446</v>
      </c>
      <c r="D18" s="392"/>
      <c r="E18" s="394">
        <f t="shared" si="0"/>
        <v>0</v>
      </c>
      <c r="F18" s="394">
        <f t="shared" si="1"/>
        <v>0</v>
      </c>
      <c r="H18" s="55"/>
    </row>
    <row r="19" spans="1:9" x14ac:dyDescent="0.2">
      <c r="A19" s="32">
        <v>15</v>
      </c>
      <c r="B19" s="58" t="s">
        <v>130</v>
      </c>
      <c r="C19" s="383">
        <f>'Sumář všech příspěvků rok 2023'!H43</f>
        <v>3649</v>
      </c>
      <c r="D19" s="391"/>
      <c r="E19" s="393">
        <f t="shared" si="0"/>
        <v>0</v>
      </c>
      <c r="F19" s="393">
        <f t="shared" si="1"/>
        <v>0</v>
      </c>
      <c r="H19" s="55"/>
    </row>
    <row r="20" spans="1:9" x14ac:dyDescent="0.2">
      <c r="A20" s="7">
        <v>16</v>
      </c>
      <c r="B20" s="9" t="s">
        <v>131</v>
      </c>
      <c r="C20" s="384">
        <f>'Sumář všech příspěvků rok 2023'!H44</f>
        <v>286</v>
      </c>
      <c r="D20" s="392"/>
      <c r="E20" s="394">
        <f t="shared" si="0"/>
        <v>0</v>
      </c>
      <c r="F20" s="394">
        <f t="shared" si="1"/>
        <v>0</v>
      </c>
      <c r="H20" s="55"/>
    </row>
    <row r="21" spans="1:9" x14ac:dyDescent="0.2">
      <c r="A21" s="32">
        <v>17</v>
      </c>
      <c r="B21" s="33" t="s">
        <v>137</v>
      </c>
      <c r="C21" s="383">
        <f>'Sumář všech příspěvků rok 2023'!H45</f>
        <v>2836</v>
      </c>
      <c r="D21" s="391"/>
      <c r="E21" s="393">
        <f t="shared" si="0"/>
        <v>0</v>
      </c>
      <c r="F21" s="393">
        <f t="shared" si="1"/>
        <v>0</v>
      </c>
      <c r="H21" s="55"/>
    </row>
    <row r="22" spans="1:9" ht="13.5" thickBot="1" x14ac:dyDescent="0.25">
      <c r="A22" s="19">
        <v>18</v>
      </c>
      <c r="B22" s="9" t="s">
        <v>133</v>
      </c>
      <c r="C22" s="384">
        <f>'Sumář všech příspěvků rok 2023'!H46</f>
        <v>1323</v>
      </c>
      <c r="D22" s="392"/>
      <c r="E22" s="394">
        <f t="shared" si="0"/>
        <v>0</v>
      </c>
      <c r="F22" s="394">
        <f t="shared" si="1"/>
        <v>0</v>
      </c>
      <c r="H22" s="55"/>
    </row>
    <row r="23" spans="1:9" ht="13.5" thickBot="1" x14ac:dyDescent="0.25">
      <c r="A23" s="20"/>
      <c r="B23" s="21"/>
      <c r="C23" s="193">
        <f>SUM(C5:C22)</f>
        <v>24177</v>
      </c>
      <c r="D23" s="193">
        <f>SUM(D5:D22)</f>
        <v>0</v>
      </c>
      <c r="E23" s="239">
        <f>SUM(E5:E22)</f>
        <v>0</v>
      </c>
      <c r="F23" s="50">
        <f>SUM(F5:F22)</f>
        <v>0</v>
      </c>
      <c r="G23" s="6"/>
      <c r="H23" s="54"/>
      <c r="I23" s="119"/>
    </row>
    <row r="24" spans="1:9" x14ac:dyDescent="0.2">
      <c r="G24" s="1"/>
    </row>
    <row r="25" spans="1:9" ht="42" customHeight="1" x14ac:dyDescent="0.2">
      <c r="A25" s="459" t="s">
        <v>217</v>
      </c>
      <c r="B25" s="459"/>
      <c r="C25" s="459"/>
      <c r="D25" s="459"/>
      <c r="E25" s="459"/>
      <c r="F25" s="459"/>
      <c r="G25" s="1"/>
    </row>
    <row r="26" spans="1:9" ht="12" customHeight="1" x14ac:dyDescent="0.2">
      <c r="A26" s="456"/>
      <c r="B26" s="457"/>
      <c r="C26" s="457"/>
      <c r="D26" s="457"/>
      <c r="E26" s="457"/>
      <c r="F26" s="457"/>
      <c r="G26" s="457"/>
      <c r="H26" s="457"/>
    </row>
    <row r="27" spans="1:9" ht="14.25" x14ac:dyDescent="0.2">
      <c r="A27" s="444" t="s">
        <v>210</v>
      </c>
      <c r="B27" s="444"/>
      <c r="C27" s="444"/>
      <c r="D27" s="444"/>
      <c r="E27" s="444"/>
      <c r="F27" s="5"/>
      <c r="G27" s="5"/>
      <c r="H27" s="5"/>
    </row>
    <row r="28" spans="1:9" x14ac:dyDescent="0.2">
      <c r="A28" s="44">
        <f>'č. 8 - xxxx'!A27</f>
        <v>44844</v>
      </c>
    </row>
  </sheetData>
  <mergeCells count="3">
    <mergeCell ref="A26:H26"/>
    <mergeCell ref="A27:E27"/>
    <mergeCell ref="A25:F25"/>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workbookViewId="0">
      <selection activeCell="B16" sqref="B16"/>
    </sheetView>
  </sheetViews>
  <sheetFormatPr defaultRowHeight="12.75" x14ac:dyDescent="0.2"/>
  <cols>
    <col min="1" max="1" width="36.140625" customWidth="1"/>
    <col min="2" max="2" width="20.5703125" customWidth="1"/>
    <col min="3" max="3" width="17.85546875" customWidth="1"/>
    <col min="4" max="4" width="14.28515625" bestFit="1" customWidth="1"/>
  </cols>
  <sheetData>
    <row r="1" spans="1:5" ht="69" customHeight="1" x14ac:dyDescent="0.2"/>
    <row r="2" spans="1:5" ht="19.5" customHeight="1" x14ac:dyDescent="0.3">
      <c r="A2" s="422" t="s">
        <v>4</v>
      </c>
      <c r="B2" s="422"/>
      <c r="C2" s="422"/>
    </row>
    <row r="4" spans="1:5" ht="15" x14ac:dyDescent="0.25">
      <c r="A4" s="183" t="s">
        <v>5</v>
      </c>
      <c r="B4" s="130" t="s">
        <v>6</v>
      </c>
    </row>
    <row r="5" spans="1:5" x14ac:dyDescent="0.2">
      <c r="A5" s="117" t="s">
        <v>7</v>
      </c>
      <c r="B5" s="184" t="s">
        <v>8</v>
      </c>
    </row>
    <row r="6" spans="1:5" x14ac:dyDescent="0.2">
      <c r="A6" s="117" t="s">
        <v>9</v>
      </c>
      <c r="B6" s="189">
        <f>'rozpis rozpočtu 2023'!B32</f>
        <v>24000</v>
      </c>
    </row>
    <row r="7" spans="1:5" x14ac:dyDescent="0.2">
      <c r="A7" s="117" t="s">
        <v>10</v>
      </c>
      <c r="B7" s="184" t="s">
        <v>8</v>
      </c>
    </row>
    <row r="8" spans="1:5" x14ac:dyDescent="0.2">
      <c r="A8" s="117" t="s">
        <v>11</v>
      </c>
      <c r="B8" s="189">
        <f>'rozpis rozpočtu 2023'!B36-'rozpočet 2023'!B6</f>
        <v>3788910</v>
      </c>
      <c r="E8" s="186"/>
    </row>
    <row r="9" spans="1:5" x14ac:dyDescent="0.2">
      <c r="A9" s="117" t="s">
        <v>12</v>
      </c>
      <c r="B9" s="185">
        <f>SUM(B5:B8)</f>
        <v>3812910</v>
      </c>
    </row>
    <row r="10" spans="1:5" x14ac:dyDescent="0.2">
      <c r="B10" s="187"/>
    </row>
    <row r="11" spans="1:5" ht="15" x14ac:dyDescent="0.25">
      <c r="A11" s="183" t="s">
        <v>13</v>
      </c>
      <c r="B11" s="184"/>
    </row>
    <row r="12" spans="1:5" x14ac:dyDescent="0.2">
      <c r="A12" s="117" t="s">
        <v>14</v>
      </c>
      <c r="B12" s="189">
        <f>'rozpis rozpočtu 2023'!F5+'rozpis rozpočtu 2023'!F20+'rozpis rozpočtu 2023'!F21+'rozpis rozpočtu 2023'!F22+'rozpis rozpočtu 2023'!F23+'rozpis rozpočtu 2023'!F24+'rozpis rozpočtu 2023'!F29+'rozpis rozpočtu 2023'!F32</f>
        <v>3194593</v>
      </c>
    </row>
    <row r="13" spans="1:5" x14ac:dyDescent="0.2">
      <c r="A13" s="117" t="s">
        <v>15</v>
      </c>
      <c r="B13" s="189">
        <f>SUM('rozpis rozpočtu 2023'!F25:F28)+'rozpis rozpočtu 2023'!F30+'rozpis rozpočtu 2023'!F31</f>
        <v>0</v>
      </c>
      <c r="C13" s="39"/>
    </row>
    <row r="14" spans="1:5" x14ac:dyDescent="0.2">
      <c r="A14" s="117" t="s">
        <v>16</v>
      </c>
      <c r="B14" s="189">
        <f>SUM(B12:B13)</f>
        <v>3194593</v>
      </c>
    </row>
    <row r="16" spans="1:5" ht="15" x14ac:dyDescent="0.25">
      <c r="A16" s="183" t="s">
        <v>17</v>
      </c>
      <c r="B16" s="188">
        <f>B9-B14</f>
        <v>618317</v>
      </c>
    </row>
    <row r="18" spans="1:2" x14ac:dyDescent="0.2">
      <c r="A18" s="283" t="s">
        <v>18</v>
      </c>
      <c r="B18" s="283"/>
    </row>
    <row r="20" spans="1:2" x14ac:dyDescent="0.2">
      <c r="A20" t="s">
        <v>19</v>
      </c>
    </row>
    <row r="21" spans="1:2" ht="18.75" customHeight="1" x14ac:dyDescent="0.2">
      <c r="A21" t="s">
        <v>20</v>
      </c>
    </row>
    <row r="22" spans="1:2" x14ac:dyDescent="0.2">
      <c r="A22" s="181"/>
      <c r="B22" s="181"/>
    </row>
    <row r="27" spans="1:2" x14ac:dyDescent="0.2">
      <c r="A27" s="181"/>
    </row>
  </sheetData>
  <mergeCells count="1">
    <mergeCell ref="A2:C2"/>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5"/>
  <sheetViews>
    <sheetView topLeftCell="A16" zoomScale="90" zoomScaleNormal="90" workbookViewId="0">
      <selection activeCell="G16" sqref="G16"/>
    </sheetView>
  </sheetViews>
  <sheetFormatPr defaultRowHeight="12.75" x14ac:dyDescent="0.2"/>
  <cols>
    <col min="1" max="1" width="51" customWidth="1"/>
    <col min="2" max="2" width="22.85546875" style="2" customWidth="1"/>
    <col min="3" max="3" width="26.140625" bestFit="1" customWidth="1"/>
    <col min="4" max="4" width="2.140625" customWidth="1"/>
    <col min="5" max="5" width="53" customWidth="1"/>
    <col min="6" max="6" width="22.5703125" customWidth="1"/>
    <col min="7" max="7" width="29.28515625" customWidth="1"/>
    <col min="8" max="8" width="4" customWidth="1"/>
    <col min="9" max="9" width="17.5703125" hidden="1" customWidth="1"/>
    <col min="10" max="10" width="19.7109375" hidden="1" customWidth="1"/>
    <col min="11" max="11" width="16.140625" customWidth="1"/>
    <col min="12" max="12" width="13.140625" customWidth="1"/>
  </cols>
  <sheetData>
    <row r="1" spans="1:12" ht="76.5" customHeight="1" x14ac:dyDescent="0.2">
      <c r="A1" s="423"/>
      <c r="B1" s="423"/>
      <c r="C1" s="423"/>
      <c r="D1" s="423"/>
      <c r="E1" s="423"/>
    </row>
    <row r="2" spans="1:12" ht="18" x14ac:dyDescent="0.25">
      <c r="A2" s="35" t="s">
        <v>21</v>
      </c>
      <c r="C2" s="2"/>
      <c r="D2" s="2"/>
      <c r="E2" s="2"/>
      <c r="F2" s="2"/>
      <c r="G2" s="2"/>
    </row>
    <row r="3" spans="1:12" ht="15.75" thickBot="1" x14ac:dyDescent="0.3">
      <c r="A3" s="10"/>
      <c r="C3" s="2"/>
      <c r="D3" s="2"/>
      <c r="E3" s="2"/>
      <c r="F3" s="2"/>
      <c r="G3" s="2"/>
    </row>
    <row r="4" spans="1:12" ht="13.5" thickBot="1" x14ac:dyDescent="0.25">
      <c r="A4" s="11" t="s">
        <v>22</v>
      </c>
      <c r="C4" s="38" t="s">
        <v>23</v>
      </c>
      <c r="D4" s="2"/>
      <c r="E4" s="11" t="s">
        <v>24</v>
      </c>
      <c r="F4" s="2"/>
      <c r="G4" s="38" t="s">
        <v>23</v>
      </c>
      <c r="H4" s="39"/>
    </row>
    <row r="5" spans="1:12" ht="13.5" thickBot="1" x14ac:dyDescent="0.25">
      <c r="A5" s="424" t="s">
        <v>25</v>
      </c>
      <c r="B5" s="427">
        <f>SUM('Sumář všech příspěvků rok 2023'!D23)</f>
        <v>265947</v>
      </c>
      <c r="C5" s="430" t="s">
        <v>26</v>
      </c>
      <c r="D5" s="2"/>
      <c r="E5" s="36" t="s">
        <v>27</v>
      </c>
      <c r="F5" s="37">
        <f>SUM(F6:F19)</f>
        <v>393800</v>
      </c>
      <c r="G5" s="38"/>
      <c r="H5" s="39"/>
      <c r="I5" s="39"/>
      <c r="J5" s="284" t="s">
        <v>28</v>
      </c>
    </row>
    <row r="6" spans="1:12" x14ac:dyDescent="0.2">
      <c r="A6" s="425"/>
      <c r="B6" s="428"/>
      <c r="C6" s="431"/>
      <c r="D6" s="2"/>
      <c r="E6" s="57" t="s">
        <v>29</v>
      </c>
      <c r="F6" s="247">
        <f>J10</f>
        <v>210800</v>
      </c>
      <c r="G6" s="248" t="s">
        <v>30</v>
      </c>
      <c r="H6" s="39"/>
      <c r="I6" s="39" t="s">
        <v>31</v>
      </c>
      <c r="J6">
        <f>100*250</f>
        <v>25000</v>
      </c>
      <c r="K6">
        <f>60*250</f>
        <v>15000</v>
      </c>
    </row>
    <row r="7" spans="1:12" x14ac:dyDescent="0.2">
      <c r="A7" s="425"/>
      <c r="B7" s="428"/>
      <c r="C7" s="431"/>
      <c r="D7" s="2"/>
      <c r="E7" s="57" t="s">
        <v>32</v>
      </c>
      <c r="F7" s="247">
        <v>1000</v>
      </c>
      <c r="G7" s="248" t="s">
        <v>33</v>
      </c>
      <c r="H7" s="39"/>
      <c r="I7" s="39" t="s">
        <v>34</v>
      </c>
      <c r="J7">
        <f>100*250</f>
        <v>25000</v>
      </c>
      <c r="K7">
        <f>60*250</f>
        <v>15000</v>
      </c>
    </row>
    <row r="8" spans="1:12" x14ac:dyDescent="0.2">
      <c r="A8" s="425"/>
      <c r="B8" s="428"/>
      <c r="C8" s="431"/>
      <c r="D8" s="2"/>
      <c r="E8" s="57" t="s">
        <v>35</v>
      </c>
      <c r="F8" s="247">
        <v>5000</v>
      </c>
      <c r="G8" s="248" t="s">
        <v>36</v>
      </c>
      <c r="H8" s="39"/>
      <c r="I8" s="39" t="s">
        <v>37</v>
      </c>
      <c r="J8">
        <f>12*10000</f>
        <v>120000</v>
      </c>
      <c r="K8">
        <f>7*10000</f>
        <v>70000</v>
      </c>
    </row>
    <row r="9" spans="1:12" x14ac:dyDescent="0.2">
      <c r="A9" s="425"/>
      <c r="B9" s="428"/>
      <c r="C9" s="431"/>
      <c r="D9" s="2"/>
      <c r="E9" s="57" t="s">
        <v>38</v>
      </c>
      <c r="F9" s="247">
        <v>2000</v>
      </c>
      <c r="G9" s="248" t="s">
        <v>39</v>
      </c>
      <c r="H9" s="39"/>
      <c r="I9" s="39" t="s">
        <v>40</v>
      </c>
      <c r="J9">
        <f>(25%+9%)*J8</f>
        <v>40799.999999999993</v>
      </c>
      <c r="K9">
        <f>(25%+9%)*K8</f>
        <v>23799.999999999996</v>
      </c>
    </row>
    <row r="10" spans="1:12" x14ac:dyDescent="0.2">
      <c r="A10" s="425"/>
      <c r="B10" s="428"/>
      <c r="C10" s="431"/>
      <c r="D10" s="2"/>
      <c r="E10" s="57" t="s">
        <v>41</v>
      </c>
      <c r="F10" s="247">
        <v>8000</v>
      </c>
      <c r="G10" s="248" t="s">
        <v>42</v>
      </c>
      <c r="H10" s="39"/>
      <c r="I10" s="39"/>
      <c r="J10" s="5">
        <f>SUM(J6:J9)</f>
        <v>210800</v>
      </c>
      <c r="K10" s="5">
        <f>SUM(K6:K9)</f>
        <v>123800</v>
      </c>
      <c r="L10">
        <f>K10/7</f>
        <v>17685.714285714286</v>
      </c>
    </row>
    <row r="11" spans="1:12" x14ac:dyDescent="0.2">
      <c r="A11" s="425"/>
      <c r="B11" s="428"/>
      <c r="C11" s="431"/>
      <c r="D11" s="2"/>
      <c r="E11" s="57" t="s">
        <v>43</v>
      </c>
      <c r="F11" s="247">
        <v>8000</v>
      </c>
      <c r="G11" s="248" t="s">
        <v>44</v>
      </c>
      <c r="H11" s="39"/>
      <c r="I11" s="39"/>
    </row>
    <row r="12" spans="1:12" x14ac:dyDescent="0.2">
      <c r="A12" s="425"/>
      <c r="B12" s="428"/>
      <c r="C12" s="431"/>
      <c r="D12" s="2"/>
      <c r="E12" s="57" t="s">
        <v>45</v>
      </c>
      <c r="F12" s="247">
        <v>2000</v>
      </c>
      <c r="G12" s="248" t="s">
        <v>46</v>
      </c>
      <c r="H12" s="39"/>
      <c r="I12" s="39"/>
    </row>
    <row r="13" spans="1:12" x14ac:dyDescent="0.2">
      <c r="A13" s="425"/>
      <c r="B13" s="428"/>
      <c r="C13" s="431"/>
      <c r="D13" s="2"/>
      <c r="E13" s="57" t="s">
        <v>47</v>
      </c>
      <c r="F13" s="247">
        <v>1000</v>
      </c>
      <c r="G13" s="248" t="s">
        <v>48</v>
      </c>
      <c r="H13" s="39"/>
      <c r="I13" s="39"/>
    </row>
    <row r="14" spans="1:12" x14ac:dyDescent="0.2">
      <c r="A14" s="425"/>
      <c r="B14" s="428"/>
      <c r="C14" s="431"/>
      <c r="D14" s="2"/>
      <c r="E14" s="57" t="s">
        <v>49</v>
      </c>
      <c r="F14" s="247">
        <f>20000+70000</f>
        <v>90000</v>
      </c>
      <c r="G14" s="248" t="s">
        <v>50</v>
      </c>
      <c r="H14" s="39"/>
      <c r="I14" s="39"/>
    </row>
    <row r="15" spans="1:12" x14ac:dyDescent="0.2">
      <c r="A15" s="425"/>
      <c r="B15" s="428"/>
      <c r="C15" s="431"/>
      <c r="D15" s="2"/>
      <c r="E15" s="57" t="s">
        <v>51</v>
      </c>
      <c r="F15" s="247">
        <f>1000+10000</f>
        <v>11000</v>
      </c>
      <c r="G15" s="248" t="s">
        <v>52</v>
      </c>
      <c r="H15" s="39"/>
      <c r="I15" s="39"/>
    </row>
    <row r="16" spans="1:12" x14ac:dyDescent="0.2">
      <c r="A16" s="425"/>
      <c r="B16" s="428"/>
      <c r="C16" s="431"/>
      <c r="D16" s="2"/>
      <c r="E16" s="57" t="s">
        <v>53</v>
      </c>
      <c r="F16" s="247">
        <v>10000</v>
      </c>
      <c r="G16" s="248" t="s">
        <v>54</v>
      </c>
      <c r="H16" s="39"/>
      <c r="I16" s="39"/>
    </row>
    <row r="17" spans="1:13" x14ac:dyDescent="0.2">
      <c r="A17" s="425"/>
      <c r="B17" s="428"/>
      <c r="C17" s="431"/>
      <c r="D17" s="2"/>
      <c r="E17" s="57" t="s">
        <v>55</v>
      </c>
      <c r="F17" s="247">
        <v>5000</v>
      </c>
      <c r="G17" s="248" t="s">
        <v>56</v>
      </c>
      <c r="H17" s="39"/>
      <c r="I17" s="39"/>
    </row>
    <row r="18" spans="1:13" x14ac:dyDescent="0.2">
      <c r="A18" s="425"/>
      <c r="B18" s="428"/>
      <c r="C18" s="431"/>
      <c r="D18" s="2"/>
      <c r="E18" s="57" t="s">
        <v>57</v>
      </c>
      <c r="F18" s="247">
        <v>20000</v>
      </c>
      <c r="G18" s="248" t="s">
        <v>58</v>
      </c>
      <c r="H18" s="39"/>
      <c r="I18" s="39"/>
    </row>
    <row r="19" spans="1:13" x14ac:dyDescent="0.2">
      <c r="A19" s="426"/>
      <c r="B19" s="429"/>
      <c r="C19" s="432"/>
      <c r="D19" s="2"/>
      <c r="E19" s="57" t="s">
        <v>59</v>
      </c>
      <c r="F19" s="247">
        <v>20000</v>
      </c>
      <c r="G19" s="248" t="s">
        <v>60</v>
      </c>
      <c r="H19" s="39"/>
      <c r="I19" s="39"/>
    </row>
    <row r="20" spans="1:13" ht="13.5" customHeight="1" x14ac:dyDescent="0.2">
      <c r="A20" s="103" t="s">
        <v>61</v>
      </c>
      <c r="B20" s="145">
        <f>'č. 2 soc.služby'!G47</f>
        <v>1983274</v>
      </c>
      <c r="C20" s="285" t="s">
        <v>26</v>
      </c>
      <c r="D20" s="2"/>
      <c r="E20" s="286" t="s">
        <v>62</v>
      </c>
      <c r="F20" s="51">
        <f>B20</f>
        <v>1983274</v>
      </c>
      <c r="G20" s="287" t="s">
        <v>63</v>
      </c>
      <c r="H20" s="109"/>
      <c r="I20" s="39"/>
      <c r="J20" s="39">
        <f>F5-B5</f>
        <v>127853</v>
      </c>
    </row>
    <row r="21" spans="1:13" s="107" customFormat="1" ht="28.5" hidden="1" customHeight="1" x14ac:dyDescent="0.2">
      <c r="A21" s="288" t="s">
        <v>64</v>
      </c>
      <c r="B21" s="289">
        <v>0</v>
      </c>
      <c r="C21" s="290" t="s">
        <v>65</v>
      </c>
      <c r="D21" s="190"/>
      <c r="E21" s="288" t="s">
        <v>66</v>
      </c>
      <c r="F21" s="291">
        <v>0</v>
      </c>
      <c r="G21" s="292" t="s">
        <v>67</v>
      </c>
      <c r="H21" s="191" t="s">
        <v>68</v>
      </c>
      <c r="I21" s="191"/>
    </row>
    <row r="22" spans="1:13" ht="14.25" customHeight="1" x14ac:dyDescent="0.2">
      <c r="A22" s="293" t="s">
        <v>69</v>
      </c>
      <c r="B22" s="294">
        <f>'č. 3 příspěvek OSA'!F24</f>
        <v>40000</v>
      </c>
      <c r="C22" s="295" t="s">
        <v>26</v>
      </c>
      <c r="D22" s="2"/>
      <c r="E22" s="56" t="s">
        <v>70</v>
      </c>
      <c r="F22" s="296">
        <v>40000</v>
      </c>
      <c r="G22" s="297" t="s">
        <v>71</v>
      </c>
      <c r="I22" s="6"/>
    </row>
    <row r="23" spans="1:13" x14ac:dyDescent="0.2">
      <c r="A23" s="298" t="s">
        <v>72</v>
      </c>
      <c r="B23" s="299">
        <f>'č. 4 protidrog.prevence'!D23</f>
        <v>70003</v>
      </c>
      <c r="C23" s="300" t="s">
        <v>26</v>
      </c>
      <c r="D23" s="2"/>
      <c r="E23" s="42" t="s">
        <v>73</v>
      </c>
      <c r="F23" s="301">
        <v>150000</v>
      </c>
      <c r="G23" s="302" t="s">
        <v>74</v>
      </c>
      <c r="I23" s="39"/>
    </row>
    <row r="24" spans="1:13" ht="13.5" thickBot="1" x14ac:dyDescent="0.25">
      <c r="A24" s="71" t="s">
        <v>75</v>
      </c>
      <c r="B24" s="303">
        <f>' č.5 SVP'!F23</f>
        <v>229686</v>
      </c>
      <c r="C24" s="304" t="s">
        <v>26</v>
      </c>
      <c r="D24" s="2"/>
      <c r="E24" s="71" t="s">
        <v>76</v>
      </c>
      <c r="F24" s="305">
        <v>230000</v>
      </c>
      <c r="G24" s="306" t="s">
        <v>77</v>
      </c>
      <c r="H24" s="82"/>
    </row>
    <row r="25" spans="1:13" ht="38.25" customHeight="1" x14ac:dyDescent="0.2">
      <c r="A25" s="436" t="s">
        <v>78</v>
      </c>
      <c r="B25" s="439">
        <f>SUM('č. 6 Heřmanička'!D12)</f>
        <v>1200000</v>
      </c>
      <c r="C25" s="436" t="s">
        <v>26</v>
      </c>
      <c r="D25" s="2"/>
      <c r="E25" s="307" t="s">
        <v>79</v>
      </c>
      <c r="F25" s="209"/>
      <c r="G25" s="433" t="s">
        <v>80</v>
      </c>
      <c r="M25" s="39"/>
    </row>
    <row r="26" spans="1:13" ht="25.5" customHeight="1" x14ac:dyDescent="0.2">
      <c r="A26" s="437"/>
      <c r="B26" s="440"/>
      <c r="C26" s="437"/>
      <c r="D26" s="2"/>
      <c r="E26" s="308" t="s">
        <v>81</v>
      </c>
      <c r="F26" s="210"/>
      <c r="G26" s="434"/>
    </row>
    <row r="27" spans="1:13" ht="25.5" customHeight="1" x14ac:dyDescent="0.2">
      <c r="A27" s="437"/>
      <c r="B27" s="440"/>
      <c r="C27" s="437"/>
      <c r="D27" s="2"/>
      <c r="E27" s="308" t="s">
        <v>82</v>
      </c>
      <c r="F27" s="210"/>
      <c r="G27" s="434"/>
    </row>
    <row r="28" spans="1:13" ht="15.75" customHeight="1" thickBot="1" x14ac:dyDescent="0.25">
      <c r="A28" s="438"/>
      <c r="B28" s="441"/>
      <c r="C28" s="438"/>
      <c r="D28" s="2"/>
      <c r="E28" s="309"/>
      <c r="F28" s="211"/>
      <c r="G28" s="435"/>
    </row>
    <row r="29" spans="1:13" ht="32.25" customHeight="1" x14ac:dyDescent="0.2">
      <c r="A29" s="310" t="s">
        <v>83</v>
      </c>
      <c r="B29" s="311">
        <f>'č.7 komunitní plánování'!F23</f>
        <v>0</v>
      </c>
      <c r="C29" s="311"/>
      <c r="D29" s="2"/>
      <c r="E29" s="312" t="s">
        <v>84</v>
      </c>
      <c r="F29" s="313">
        <v>340000</v>
      </c>
      <c r="G29" s="314" t="s">
        <v>85</v>
      </c>
      <c r="H29" t="s">
        <v>86</v>
      </c>
    </row>
    <row r="30" spans="1:13" ht="36.6" customHeight="1" x14ac:dyDescent="0.2">
      <c r="A30" s="315" t="s">
        <v>87</v>
      </c>
      <c r="B30" s="316"/>
      <c r="C30" s="316"/>
      <c r="D30" s="2"/>
      <c r="E30" s="317" t="s">
        <v>88</v>
      </c>
      <c r="F30" s="318"/>
      <c r="G30" s="319"/>
    </row>
    <row r="31" spans="1:13" ht="27" hidden="1" customHeight="1" x14ac:dyDescent="0.2">
      <c r="A31" s="315"/>
      <c r="B31" s="316"/>
      <c r="C31" s="316"/>
      <c r="D31" s="2"/>
      <c r="E31" s="320"/>
      <c r="F31" s="318"/>
      <c r="G31" s="319"/>
    </row>
    <row r="32" spans="1:13" ht="25.5" customHeight="1" x14ac:dyDescent="0.2">
      <c r="A32" s="321" t="s">
        <v>89</v>
      </c>
      <c r="B32" s="322">
        <v>24000</v>
      </c>
      <c r="C32" s="322" t="s">
        <v>90</v>
      </c>
      <c r="D32" s="2"/>
      <c r="E32" s="321" t="s">
        <v>91</v>
      </c>
      <c r="F32" s="323">
        <f>24519+13000+20000</f>
        <v>57519</v>
      </c>
      <c r="G32" s="324" t="s">
        <v>92</v>
      </c>
      <c r="H32" t="s">
        <v>86</v>
      </c>
      <c r="K32" s="6">
        <f>SUM(F6:F32)</f>
        <v>3194593</v>
      </c>
    </row>
    <row r="33" spans="1:9" ht="13.5" thickBot="1" x14ac:dyDescent="0.25"/>
    <row r="34" spans="1:9" hidden="1" x14ac:dyDescent="0.2">
      <c r="A34" t="s">
        <v>93</v>
      </c>
    </row>
    <row r="35" spans="1:9" ht="13.5" hidden="1" thickBot="1" x14ac:dyDescent="0.25">
      <c r="A35" t="s">
        <v>94</v>
      </c>
      <c r="I35" s="6"/>
    </row>
    <row r="36" spans="1:9" ht="13.5" thickBot="1" x14ac:dyDescent="0.25">
      <c r="A36" s="30" t="s">
        <v>95</v>
      </c>
      <c r="B36" s="16">
        <f>B5+B20+B22+B23+B24+B25+B28+B29+B21+B32+B30+B31</f>
        <v>3812910</v>
      </c>
      <c r="C36" s="13">
        <f>SUM(B5:B32)</f>
        <v>3812910</v>
      </c>
      <c r="D36" s="325"/>
      <c r="E36" s="17" t="s">
        <v>96</v>
      </c>
      <c r="F36" s="16">
        <f>F5+F20+F21+F22+F23+F24+F25+F26+F27+F29+F32+F28+F30+F31</f>
        <v>3194593</v>
      </c>
      <c r="I36" s="6"/>
    </row>
    <row r="37" spans="1:9" ht="13.5" thickBot="1" x14ac:dyDescent="0.25">
      <c r="A37" s="12"/>
      <c r="B37" s="13"/>
      <c r="C37" s="39"/>
      <c r="D37" s="2"/>
      <c r="I37" s="6"/>
    </row>
    <row r="38" spans="1:9" ht="13.5" thickBot="1" x14ac:dyDescent="0.25">
      <c r="A38" s="14" t="s">
        <v>97</v>
      </c>
      <c r="B38" s="15">
        <f>SUM(B36-F36)</f>
        <v>618317</v>
      </c>
      <c r="C38" s="39"/>
      <c r="D38" s="2"/>
      <c r="E38" s="13"/>
      <c r="F38" s="2"/>
      <c r="G38" s="2"/>
      <c r="I38" s="6"/>
    </row>
    <row r="39" spans="1:9" ht="13.5" thickBot="1" x14ac:dyDescent="0.25"/>
    <row r="40" spans="1:9" x14ac:dyDescent="0.2">
      <c r="A40" s="110"/>
      <c r="B40" s="326" t="s">
        <v>98</v>
      </c>
      <c r="C40" s="327" t="s">
        <v>99</v>
      </c>
    </row>
    <row r="41" spans="1:9" ht="28.5" customHeight="1" x14ac:dyDescent="0.2">
      <c r="A41" s="328" t="s">
        <v>100</v>
      </c>
      <c r="B41" s="329">
        <f>2500000-B42</f>
        <v>2112000</v>
      </c>
      <c r="C41" s="111">
        <f>C44-C43</f>
        <v>1918317</v>
      </c>
    </row>
    <row r="42" spans="1:9" ht="28.5" customHeight="1" x14ac:dyDescent="0.2">
      <c r="A42" s="328" t="s">
        <v>101</v>
      </c>
      <c r="B42" s="329">
        <v>388000</v>
      </c>
      <c r="C42" s="111">
        <f>B42+B20+B23-F20-F23</f>
        <v>308003</v>
      </c>
    </row>
    <row r="43" spans="1:9" x14ac:dyDescent="0.2">
      <c r="A43" s="330" t="s">
        <v>102</v>
      </c>
      <c r="B43" s="329">
        <v>5400000</v>
      </c>
      <c r="C43" s="111">
        <f>B43+B25-F25-F26-F27-F28</f>
        <v>6600000</v>
      </c>
    </row>
    <row r="44" spans="1:9" ht="13.5" thickBot="1" x14ac:dyDescent="0.25">
      <c r="A44" s="95" t="s">
        <v>103</v>
      </c>
      <c r="B44" s="331">
        <f>SUM(B41:B43)</f>
        <v>7900000</v>
      </c>
      <c r="C44" s="112">
        <f>B44+B36-F36</f>
        <v>8518317</v>
      </c>
    </row>
    <row r="45" spans="1:9" ht="18" customHeight="1" x14ac:dyDescent="0.2">
      <c r="A45" s="332"/>
      <c r="B45" s="333"/>
    </row>
    <row r="46" spans="1:9" ht="18" customHeight="1" x14ac:dyDescent="0.2">
      <c r="A46" s="253" t="str">
        <f>'č. 1 čl. přísp.'!A27</f>
        <v>Hana Němcová / Anna Randáková</v>
      </c>
      <c r="B46" s="11"/>
      <c r="C46" s="114"/>
      <c r="D46" s="5"/>
      <c r="E46" s="5"/>
      <c r="F46" s="5"/>
      <c r="G46" s="5"/>
    </row>
    <row r="47" spans="1:9" ht="15.75" x14ac:dyDescent="0.2">
      <c r="A47" s="252">
        <f>'Sumář všech příspěvků rok 2023'!C50</f>
        <v>44844</v>
      </c>
    </row>
    <row r="48" spans="1:9" ht="15.75" x14ac:dyDescent="0.2">
      <c r="A48" s="76"/>
    </row>
    <row r="49" spans="1:4" ht="15.75" x14ac:dyDescent="0.2">
      <c r="A49" s="76"/>
      <c r="B49" s="325"/>
      <c r="C49" s="39"/>
    </row>
    <row r="51" spans="1:4" ht="13.5" customHeight="1" x14ac:dyDescent="0.2"/>
    <row r="52" spans="1:4" ht="15.75" x14ac:dyDescent="0.2">
      <c r="A52" s="115"/>
      <c r="B52" s="116"/>
      <c r="C52" s="114"/>
      <c r="D52" s="5"/>
    </row>
    <row r="53" spans="1:4" ht="15" x14ac:dyDescent="0.2">
      <c r="A53" s="113"/>
      <c r="B53" s="116"/>
      <c r="C53" s="114"/>
      <c r="D53" s="5"/>
    </row>
    <row r="54" spans="1:4" ht="15" x14ac:dyDescent="0.2">
      <c r="A54" s="113"/>
      <c r="B54" s="116"/>
      <c r="C54" s="5"/>
      <c r="D54" s="5"/>
    </row>
    <row r="55" spans="1:4" ht="15" x14ac:dyDescent="0.2">
      <c r="A55" s="113"/>
      <c r="B55" s="116"/>
      <c r="C55" s="114"/>
      <c r="D55" s="5"/>
    </row>
  </sheetData>
  <mergeCells count="8">
    <mergeCell ref="A1:E1"/>
    <mergeCell ref="A5:A19"/>
    <mergeCell ref="B5:B19"/>
    <mergeCell ref="C5:C19"/>
    <mergeCell ref="G25:G28"/>
    <mergeCell ref="A25:A28"/>
    <mergeCell ref="B25:B28"/>
    <mergeCell ref="C25:C28"/>
  </mergeCells>
  <pageMargins left="0.25" right="0.25" top="0.75" bottom="0.75" header="0.3" footer="0.3"/>
  <pageSetup paperSize="9" scale="69"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34"/>
  <sheetViews>
    <sheetView workbookViewId="0">
      <selection activeCell="L19" sqref="L19"/>
    </sheetView>
  </sheetViews>
  <sheetFormatPr defaultRowHeight="12.75" x14ac:dyDescent="0.2"/>
  <cols>
    <col min="1" max="1" width="3.5703125" customWidth="1"/>
    <col min="2" max="2" width="5" bestFit="1" customWidth="1"/>
    <col min="3" max="3" width="22.85546875" customWidth="1"/>
    <col min="4" max="4" width="15.7109375" customWidth="1"/>
    <col min="5" max="5" width="16.42578125" customWidth="1"/>
    <col min="6" max="9" width="16.140625" customWidth="1"/>
    <col min="10" max="10" width="18.140625" customWidth="1"/>
    <col min="11" max="12" width="17.42578125" customWidth="1"/>
    <col min="13" max="13" width="19" style="1" customWidth="1"/>
    <col min="14" max="14" width="12" style="1" bestFit="1" customWidth="1"/>
    <col min="15" max="15" width="6.7109375" customWidth="1"/>
    <col min="16" max="16" width="19.5703125" customWidth="1"/>
    <col min="17" max="17" width="6.28515625" customWidth="1"/>
    <col min="18" max="18" width="23.28515625" customWidth="1"/>
    <col min="19" max="19" width="20.5703125" customWidth="1"/>
    <col min="20" max="20" width="20.7109375" customWidth="1"/>
    <col min="21" max="21" width="19.42578125" style="5" customWidth="1"/>
    <col min="22" max="22" width="21.140625" customWidth="1"/>
  </cols>
  <sheetData>
    <row r="1" spans="1:21" x14ac:dyDescent="0.2">
      <c r="A1" s="442" t="s">
        <v>104</v>
      </c>
      <c r="B1" s="442"/>
      <c r="C1" s="442"/>
      <c r="D1" s="442"/>
      <c r="E1" s="442"/>
      <c r="F1" s="442"/>
      <c r="G1" s="442"/>
      <c r="H1" s="442"/>
      <c r="I1" s="442"/>
      <c r="J1" s="442"/>
      <c r="K1" s="442"/>
      <c r="L1" s="442"/>
      <c r="M1" s="442"/>
    </row>
    <row r="2" spans="1:21" ht="13.5" thickBot="1" x14ac:dyDescent="0.25">
      <c r="O2" s="5"/>
      <c r="U2"/>
    </row>
    <row r="3" spans="1:21" s="108" customFormat="1" ht="81" customHeight="1" thickBot="1" x14ac:dyDescent="0.25">
      <c r="A3" s="104"/>
      <c r="B3" s="203" t="s">
        <v>105</v>
      </c>
      <c r="C3" s="172" t="s">
        <v>106</v>
      </c>
      <c r="D3" s="106" t="s">
        <v>107</v>
      </c>
      <c r="E3" s="170" t="s">
        <v>108</v>
      </c>
      <c r="F3" s="168" t="s">
        <v>109</v>
      </c>
      <c r="G3" s="167" t="s">
        <v>110</v>
      </c>
      <c r="H3" s="163" t="s">
        <v>111</v>
      </c>
      <c r="I3" s="160" t="s">
        <v>112</v>
      </c>
      <c r="J3" s="105" t="s">
        <v>113</v>
      </c>
      <c r="K3" s="105" t="s">
        <v>114</v>
      </c>
      <c r="L3" s="106" t="s">
        <v>115</v>
      </c>
      <c r="M3" s="107"/>
      <c r="N3" s="107"/>
      <c r="O3" s="107"/>
      <c r="P3" s="107"/>
      <c r="Q3" s="107"/>
      <c r="R3" s="107"/>
      <c r="S3" s="107"/>
      <c r="T3" s="107"/>
    </row>
    <row r="4" spans="1:21" ht="4.5" customHeight="1" x14ac:dyDescent="0.2">
      <c r="A4" s="31"/>
      <c r="B4" s="169"/>
      <c r="C4" s="40"/>
      <c r="D4" s="171"/>
      <c r="E4" s="171"/>
      <c r="F4" s="169"/>
      <c r="G4" s="334"/>
      <c r="H4" s="335"/>
      <c r="I4" s="334"/>
      <c r="J4" s="336"/>
      <c r="K4" s="336"/>
      <c r="L4" s="34"/>
      <c r="M4"/>
      <c r="N4"/>
      <c r="U4"/>
    </row>
    <row r="5" spans="1:21" x14ac:dyDescent="0.2">
      <c r="A5" s="32">
        <v>1</v>
      </c>
      <c r="B5" s="204">
        <v>2012</v>
      </c>
      <c r="C5" s="173" t="s">
        <v>116</v>
      </c>
      <c r="D5" s="161">
        <f>SUM('č. 1 čl. přísp.'!F5)</f>
        <v>7601</v>
      </c>
      <c r="E5" s="161">
        <f>'č. 2 soc.služby'!G29</f>
        <v>44987</v>
      </c>
      <c r="F5" s="161">
        <f>SUM('č. 3 příspěvek OSA'!E6)</f>
        <v>0</v>
      </c>
      <c r="G5" s="161">
        <f>SUM('č. 4 protidrog.prevence'!D5)</f>
        <v>2001</v>
      </c>
      <c r="H5" s="164">
        <f>' č.5 SVP'!F5</f>
        <v>6565</v>
      </c>
      <c r="I5" s="161">
        <v>0</v>
      </c>
      <c r="J5" s="337">
        <f>'č.7 komunitní plánování'!F5</f>
        <v>0</v>
      </c>
      <c r="K5" s="337">
        <f>'č. 8 - xxxx'!F5</f>
        <v>0</v>
      </c>
      <c r="L5" s="53">
        <f t="shared" ref="L5:L22" si="0">SUM(D5:K5)</f>
        <v>61154</v>
      </c>
      <c r="M5"/>
      <c r="N5"/>
      <c r="U5"/>
    </row>
    <row r="6" spans="1:21" s="8" customFormat="1" x14ac:dyDescent="0.2">
      <c r="A6" s="7">
        <v>2</v>
      </c>
      <c r="B6" s="205">
        <v>2013</v>
      </c>
      <c r="C6" s="174" t="s">
        <v>117</v>
      </c>
      <c r="D6" s="162">
        <f>SUM('č. 1 čl. přísp.'!F6)</f>
        <v>10395</v>
      </c>
      <c r="E6" s="162">
        <f>'č. 2 soc.služby'!G30</f>
        <v>0</v>
      </c>
      <c r="F6" s="162">
        <f>SUM('č. 3 příspěvek OSA'!F7)</f>
        <v>2206</v>
      </c>
      <c r="G6" s="162">
        <f>SUM('č. 4 protidrog.prevence'!D6)</f>
        <v>2736</v>
      </c>
      <c r="H6" s="165">
        <f>' č.5 SVP'!F6</f>
        <v>8978</v>
      </c>
      <c r="I6" s="338">
        <v>0</v>
      </c>
      <c r="J6" s="339">
        <f>'č.7 komunitní plánování'!F6</f>
        <v>0</v>
      </c>
      <c r="K6" s="339">
        <f>'č. 8 - xxxx'!F6</f>
        <v>0</v>
      </c>
      <c r="L6" s="102">
        <f t="shared" si="0"/>
        <v>24315</v>
      </c>
      <c r="M6"/>
      <c r="N6"/>
      <c r="O6"/>
      <c r="P6"/>
      <c r="Q6"/>
      <c r="R6"/>
      <c r="S6"/>
      <c r="T6"/>
    </row>
    <row r="7" spans="1:21" x14ac:dyDescent="0.2">
      <c r="A7" s="32">
        <v>3</v>
      </c>
      <c r="B7" s="204">
        <v>2015</v>
      </c>
      <c r="C7" s="173" t="s">
        <v>118</v>
      </c>
      <c r="D7" s="161">
        <f>SUM('č. 1 čl. přísp.'!F7)</f>
        <v>3498</v>
      </c>
      <c r="E7" s="161">
        <f>'č. 2 soc.služby'!G31</f>
        <v>20703</v>
      </c>
      <c r="F7" s="161">
        <f>SUM('č. 3 příspěvek OSA'!F8)</f>
        <v>742</v>
      </c>
      <c r="G7" s="161">
        <f>SUM('č. 4 protidrog.prevence'!D7)</f>
        <v>921</v>
      </c>
      <c r="H7" s="164">
        <f>' č.5 SVP'!F7</f>
        <v>3021</v>
      </c>
      <c r="I7" s="340">
        <v>0</v>
      </c>
      <c r="J7" s="337">
        <f>'č.7 komunitní plánování'!F7</f>
        <v>0</v>
      </c>
      <c r="K7" s="337">
        <f>'č. 8 - xxxx'!F7</f>
        <v>0</v>
      </c>
      <c r="L7" s="53">
        <f t="shared" si="0"/>
        <v>28885</v>
      </c>
      <c r="M7"/>
      <c r="N7"/>
      <c r="U7"/>
    </row>
    <row r="8" spans="1:21" s="8" customFormat="1" x14ac:dyDescent="0.2">
      <c r="A8" s="7">
        <v>4</v>
      </c>
      <c r="B8" s="205">
        <v>2017</v>
      </c>
      <c r="C8" s="174" t="s">
        <v>119</v>
      </c>
      <c r="D8" s="162">
        <f>SUM('č. 1 čl. přísp.'!F8)</f>
        <v>7733</v>
      </c>
      <c r="E8" s="162">
        <f>'č. 2 soc.služby'!G32</f>
        <v>45769</v>
      </c>
      <c r="F8" s="162">
        <f>SUM('č. 3 příspěvek OSA'!F9)</f>
        <v>1641</v>
      </c>
      <c r="G8" s="162">
        <f>SUM('č. 4 protidrog.prevence'!D8)</f>
        <v>2035</v>
      </c>
      <c r="H8" s="165">
        <f>' č.5 SVP'!F8</f>
        <v>6679</v>
      </c>
      <c r="I8" s="338">
        <f>SUM('č. 6 Heřmanička'!D8)</f>
        <v>300000</v>
      </c>
      <c r="J8" s="339">
        <f>'č.7 komunitní plánování'!F8</f>
        <v>0</v>
      </c>
      <c r="K8" s="339">
        <f>'č. 8 - xxxx'!F8</f>
        <v>0</v>
      </c>
      <c r="L8" s="102">
        <f t="shared" si="0"/>
        <v>363857</v>
      </c>
      <c r="M8"/>
      <c r="N8"/>
      <c r="O8"/>
      <c r="P8"/>
      <c r="Q8"/>
      <c r="R8"/>
      <c r="S8"/>
      <c r="T8"/>
    </row>
    <row r="9" spans="1:21" x14ac:dyDescent="0.2">
      <c r="A9" s="32">
        <v>5</v>
      </c>
      <c r="B9" s="204">
        <v>2019</v>
      </c>
      <c r="C9" s="173" t="s">
        <v>120</v>
      </c>
      <c r="D9" s="161">
        <f>SUM('č. 1 čl. přísp.'!F9)</f>
        <v>6138</v>
      </c>
      <c r="E9" s="161">
        <f>'č. 2 soc.služby'!G33</f>
        <v>36328</v>
      </c>
      <c r="F9" s="161">
        <f>SUM('č. 3 příspěvek OSA'!F10)</f>
        <v>1302</v>
      </c>
      <c r="G9" s="161">
        <f>SUM('č. 4 protidrog.prevence'!D9)</f>
        <v>1616</v>
      </c>
      <c r="H9" s="164">
        <f>' č.5 SVP'!F9</f>
        <v>5301</v>
      </c>
      <c r="I9" s="161">
        <v>0</v>
      </c>
      <c r="J9" s="337">
        <f>'č.7 komunitní plánování'!F9</f>
        <v>0</v>
      </c>
      <c r="K9" s="337">
        <f>'č. 8 - xxxx'!F9</f>
        <v>0</v>
      </c>
      <c r="L9" s="53">
        <f t="shared" si="0"/>
        <v>50685</v>
      </c>
      <c r="M9"/>
      <c r="N9"/>
      <c r="U9"/>
    </row>
    <row r="10" spans="1:21" s="8" customFormat="1" x14ac:dyDescent="0.2">
      <c r="A10" s="7">
        <v>6</v>
      </c>
      <c r="B10" s="205">
        <v>2003</v>
      </c>
      <c r="C10" s="174" t="s">
        <v>121</v>
      </c>
      <c r="D10" s="162">
        <f>SUM('č. 1 čl. přísp.'!F10)</f>
        <v>80311</v>
      </c>
      <c r="E10" s="162">
        <f>'č. 2 soc.služby'!G34</f>
        <v>978861</v>
      </c>
      <c r="F10" s="162">
        <f>SUM('č. 3 příspěvek OSA'!F11)</f>
        <v>17040</v>
      </c>
      <c r="G10" s="162">
        <f>SUM('č. 4 protidrog.prevence'!D10)</f>
        <v>21141</v>
      </c>
      <c r="H10" s="165">
        <f>' č.5 SVP'!F10</f>
        <v>69360</v>
      </c>
      <c r="I10" s="162">
        <f>SUM('č. 6 Heřmanička'!D9)</f>
        <v>300000</v>
      </c>
      <c r="J10" s="339">
        <f>'č.7 komunitní plánování'!F10</f>
        <v>0</v>
      </c>
      <c r="K10" s="339">
        <f>'č. 8 - xxxx'!F10</f>
        <v>0</v>
      </c>
      <c r="L10" s="102">
        <f t="shared" si="0"/>
        <v>1466713</v>
      </c>
      <c r="M10"/>
      <c r="N10"/>
      <c r="O10"/>
      <c r="P10"/>
      <c r="Q10"/>
      <c r="R10"/>
      <c r="S10"/>
      <c r="T10"/>
    </row>
    <row r="11" spans="1:21" x14ac:dyDescent="0.2">
      <c r="A11" s="32">
        <v>7</v>
      </c>
      <c r="B11" s="204">
        <v>2020</v>
      </c>
      <c r="C11" s="173" t="s">
        <v>122</v>
      </c>
      <c r="D11" s="161">
        <f>SUM('č. 1 čl. přísp.'!F11)</f>
        <v>4873</v>
      </c>
      <c r="E11" s="161">
        <f>'č. 2 soc.služby'!G35</f>
        <v>28841</v>
      </c>
      <c r="F11" s="161">
        <f>SUM('č. 3 příspěvek OSA'!F12)</f>
        <v>1034</v>
      </c>
      <c r="G11" s="161">
        <f>SUM('č. 4 protidrog.prevence'!D11)</f>
        <v>1283</v>
      </c>
      <c r="H11" s="164">
        <f>' č.5 SVP'!F11</f>
        <v>4209</v>
      </c>
      <c r="I11" s="340">
        <v>0</v>
      </c>
      <c r="J11" s="337">
        <f>'č.7 komunitní plánování'!F11</f>
        <v>0</v>
      </c>
      <c r="K11" s="337">
        <f>'č. 8 - xxxx'!F11</f>
        <v>0</v>
      </c>
      <c r="L11" s="53">
        <f t="shared" si="0"/>
        <v>40240</v>
      </c>
      <c r="M11"/>
      <c r="N11"/>
      <c r="U11"/>
    </row>
    <row r="12" spans="1:21" s="8" customFormat="1" x14ac:dyDescent="0.2">
      <c r="A12" s="7">
        <v>8</v>
      </c>
      <c r="B12" s="205">
        <v>2004</v>
      </c>
      <c r="C12" s="174" t="s">
        <v>123</v>
      </c>
      <c r="D12" s="162">
        <f>SUM('č. 1 čl. přísp.'!F12)</f>
        <v>29689</v>
      </c>
      <c r="E12" s="162">
        <f>'č. 2 soc.služby'!G36</f>
        <v>175718</v>
      </c>
      <c r="F12" s="162">
        <f>SUM('č. 3 příspěvek OSA'!F13)</f>
        <v>0</v>
      </c>
      <c r="G12" s="162">
        <f>SUM('č. 4 protidrog.prevence'!D12)</f>
        <v>7814</v>
      </c>
      <c r="H12" s="165">
        <f>' č.5 SVP'!F12</f>
        <v>25641</v>
      </c>
      <c r="I12" s="162">
        <v>0</v>
      </c>
      <c r="J12" s="339">
        <f>'č.7 komunitní plánování'!F12</f>
        <v>0</v>
      </c>
      <c r="K12" s="339">
        <f>'č. 8 - xxxx'!F12</f>
        <v>0</v>
      </c>
      <c r="L12" s="102">
        <f t="shared" si="0"/>
        <v>238862</v>
      </c>
      <c r="M12"/>
      <c r="N12"/>
      <c r="O12"/>
      <c r="P12"/>
      <c r="Q12"/>
      <c r="R12"/>
      <c r="S12"/>
      <c r="T12"/>
    </row>
    <row r="13" spans="1:21" x14ac:dyDescent="0.2">
      <c r="A13" s="32">
        <v>9</v>
      </c>
      <c r="B13" s="204">
        <v>2021</v>
      </c>
      <c r="C13" s="173" t="s">
        <v>124</v>
      </c>
      <c r="D13" s="161">
        <f>SUM('č. 1 čl. přísp.'!F13)</f>
        <v>2926</v>
      </c>
      <c r="E13" s="161">
        <f>'č. 2 soc.služby'!G37</f>
        <v>17318</v>
      </c>
      <c r="F13" s="161">
        <f>SUM('č. 3 příspěvek OSA'!F14)</f>
        <v>621</v>
      </c>
      <c r="G13" s="161">
        <f>SUM('č. 4 protidrog.prevence'!D13)</f>
        <v>770</v>
      </c>
      <c r="H13" s="164">
        <f>' č.5 SVP'!F13</f>
        <v>2527</v>
      </c>
      <c r="I13" s="340">
        <f>SUM('č. 6 Heřmanička'!D10)</f>
        <v>300000</v>
      </c>
      <c r="J13" s="337">
        <f>'č.7 komunitní plánování'!F13</f>
        <v>0</v>
      </c>
      <c r="K13" s="337">
        <f>'č. 8 - xxxx'!F13</f>
        <v>0</v>
      </c>
      <c r="L13" s="53">
        <f t="shared" si="0"/>
        <v>324162</v>
      </c>
      <c r="M13"/>
      <c r="N13"/>
      <c r="U13"/>
    </row>
    <row r="14" spans="1:21" s="8" customFormat="1" x14ac:dyDescent="0.2">
      <c r="A14" s="7">
        <v>10</v>
      </c>
      <c r="B14" s="205">
        <v>2023</v>
      </c>
      <c r="C14" s="174" t="s">
        <v>125</v>
      </c>
      <c r="D14" s="162">
        <f>SUM('č. 1 čl. přísp.'!F14)</f>
        <v>2497</v>
      </c>
      <c r="E14" s="162">
        <f>'č. 2 soc.služby'!G38</f>
        <v>14779</v>
      </c>
      <c r="F14" s="162">
        <f>SUM('č. 3 příspěvek OSA'!F15)</f>
        <v>530</v>
      </c>
      <c r="G14" s="162">
        <f>SUM('č. 4 protidrog.prevence'!D14)</f>
        <v>657</v>
      </c>
      <c r="H14" s="165">
        <f>' č.5 SVP'!F14</f>
        <v>2157</v>
      </c>
      <c r="I14" s="338"/>
      <c r="J14" s="339">
        <f>'č.7 komunitní plánování'!F14</f>
        <v>0</v>
      </c>
      <c r="K14" s="339">
        <f>'č. 8 - xxxx'!F14</f>
        <v>0</v>
      </c>
      <c r="L14" s="102">
        <f t="shared" si="0"/>
        <v>20620</v>
      </c>
      <c r="M14"/>
      <c r="N14"/>
      <c r="O14"/>
      <c r="P14"/>
      <c r="Q14"/>
      <c r="R14"/>
      <c r="S14"/>
      <c r="T14"/>
    </row>
    <row r="15" spans="1:21" x14ac:dyDescent="0.2">
      <c r="A15" s="32">
        <v>11</v>
      </c>
      <c r="B15" s="204">
        <v>2027</v>
      </c>
      <c r="C15" s="173" t="s">
        <v>126</v>
      </c>
      <c r="D15" s="161">
        <f>SUM('č. 1 čl. přísp.'!F15)</f>
        <v>7084</v>
      </c>
      <c r="E15" s="161">
        <f>'č. 2 soc.služby'!G39</f>
        <v>41927</v>
      </c>
      <c r="F15" s="161">
        <f>SUM('č. 3 příspěvek OSA'!F16)</f>
        <v>1503</v>
      </c>
      <c r="G15" s="161">
        <f>SUM('č. 4 protidrog.prevence'!D15)</f>
        <v>1865</v>
      </c>
      <c r="H15" s="164">
        <f>' č.5 SVP'!F15</f>
        <v>6118</v>
      </c>
      <c r="I15" s="161">
        <v>0</v>
      </c>
      <c r="J15" s="337">
        <f>'č.7 komunitní plánování'!F15</f>
        <v>0</v>
      </c>
      <c r="K15" s="337">
        <f>'č. 8 - xxxx'!F15</f>
        <v>0</v>
      </c>
      <c r="L15" s="53">
        <f t="shared" si="0"/>
        <v>58497</v>
      </c>
      <c r="M15"/>
      <c r="N15"/>
      <c r="U15"/>
    </row>
    <row r="16" spans="1:21" s="8" customFormat="1" x14ac:dyDescent="0.2">
      <c r="A16" s="7">
        <v>12</v>
      </c>
      <c r="B16" s="205">
        <v>2029</v>
      </c>
      <c r="C16" s="174" t="s">
        <v>127</v>
      </c>
      <c r="D16" s="162">
        <f>SUM('č. 1 čl. přísp.'!F16)</f>
        <v>5302</v>
      </c>
      <c r="E16" s="162">
        <f>'č. 2 soc.služby'!G40</f>
        <v>31380</v>
      </c>
      <c r="F16" s="162">
        <f>SUM('č. 3 příspěvek OSA'!F17)</f>
        <v>1125</v>
      </c>
      <c r="G16" s="162">
        <f>SUM('č. 4 protidrog.prevence'!D16)</f>
        <v>1396</v>
      </c>
      <c r="H16" s="165">
        <f>' č.5 SVP'!F16</f>
        <v>4579</v>
      </c>
      <c r="I16" s="162">
        <v>0</v>
      </c>
      <c r="J16" s="339">
        <f>'č.7 komunitní plánování'!F16</f>
        <v>0</v>
      </c>
      <c r="K16" s="339">
        <f>'č. 8 - xxxx'!F16</f>
        <v>0</v>
      </c>
      <c r="L16" s="102">
        <f t="shared" si="0"/>
        <v>43782</v>
      </c>
      <c r="M16"/>
      <c r="N16"/>
      <c r="O16"/>
      <c r="P16"/>
      <c r="Q16"/>
      <c r="R16"/>
      <c r="S16"/>
      <c r="T16"/>
    </row>
    <row r="17" spans="1:22" x14ac:dyDescent="0.2">
      <c r="A17" s="32">
        <v>13</v>
      </c>
      <c r="B17" s="204">
        <v>2032</v>
      </c>
      <c r="C17" s="173" t="s">
        <v>128</v>
      </c>
      <c r="D17" s="161">
        <f>SUM('č. 1 čl. přísp.'!F17)</f>
        <v>3960</v>
      </c>
      <c r="E17" s="161">
        <f>'č. 2 soc.služby'!G41</f>
        <v>23438</v>
      </c>
      <c r="F17" s="161">
        <f>SUM('č. 3 příspěvek OSA'!F18)</f>
        <v>840</v>
      </c>
      <c r="G17" s="161">
        <f>SUM('č. 4 protidrog.prevence'!D17)</f>
        <v>1042</v>
      </c>
      <c r="H17" s="164">
        <f>' č.5 SVP'!F17</f>
        <v>3420</v>
      </c>
      <c r="I17" s="340">
        <f>SUM('č. 6 Heřmanička'!D11)</f>
        <v>300000</v>
      </c>
      <c r="J17" s="337">
        <f>'č.7 komunitní plánování'!F17</f>
        <v>0</v>
      </c>
      <c r="K17" s="337">
        <f>'č. 8 - xxxx'!F17</f>
        <v>0</v>
      </c>
      <c r="L17" s="53">
        <f t="shared" si="0"/>
        <v>332700</v>
      </c>
      <c r="M17"/>
      <c r="N17"/>
      <c r="U17"/>
    </row>
    <row r="18" spans="1:22" s="8" customFormat="1" x14ac:dyDescent="0.2">
      <c r="A18" s="7">
        <v>14</v>
      </c>
      <c r="B18" s="205">
        <v>2033</v>
      </c>
      <c r="C18" s="174" t="s">
        <v>129</v>
      </c>
      <c r="D18" s="162">
        <f>SUM('č. 1 čl. přísp.'!F18)</f>
        <v>4906</v>
      </c>
      <c r="E18" s="162">
        <f>'č. 2 soc.služby'!G42</f>
        <v>29037</v>
      </c>
      <c r="F18" s="162">
        <f>SUM('č. 3 příspěvek OSA'!F19)</f>
        <v>1041</v>
      </c>
      <c r="G18" s="162">
        <f>SUM('č. 4 protidrog.prevence'!D18)</f>
        <v>1291</v>
      </c>
      <c r="H18" s="165">
        <f>' č.5 SVP'!F18</f>
        <v>4237</v>
      </c>
      <c r="I18" s="338">
        <v>0</v>
      </c>
      <c r="J18" s="339">
        <f>'č.7 komunitní plánování'!F18</f>
        <v>0</v>
      </c>
      <c r="K18" s="339">
        <f>'č. 8 - xxxx'!F18</f>
        <v>0</v>
      </c>
      <c r="L18" s="102">
        <f t="shared" si="0"/>
        <v>40512</v>
      </c>
      <c r="M18"/>
      <c r="N18"/>
      <c r="O18"/>
      <c r="P18"/>
      <c r="Q18"/>
      <c r="R18"/>
      <c r="S18"/>
      <c r="T18"/>
    </row>
    <row r="19" spans="1:22" x14ac:dyDescent="0.2">
      <c r="A19" s="32">
        <v>15</v>
      </c>
      <c r="B19" s="206">
        <v>2008</v>
      </c>
      <c r="C19" s="175" t="s">
        <v>130</v>
      </c>
      <c r="D19" s="161">
        <f>SUM('č. 1 čl. přísp.'!F19)</f>
        <v>40139</v>
      </c>
      <c r="E19" s="161">
        <f>'č. 2 soc.služby'!G43</f>
        <v>389435</v>
      </c>
      <c r="F19" s="161">
        <f>SUM('č. 3 příspěvek OSA'!F20)</f>
        <v>0</v>
      </c>
      <c r="G19" s="161">
        <f>SUM('č. 4 protidrog.prevence'!D19)</f>
        <v>10565</v>
      </c>
      <c r="H19" s="164">
        <f>' č.5 SVP'!F19</f>
        <v>34666</v>
      </c>
      <c r="I19" s="161">
        <v>0</v>
      </c>
      <c r="J19" s="337">
        <f>'č.7 komunitní plánování'!F19</f>
        <v>0</v>
      </c>
      <c r="K19" s="337">
        <f>'č. 8 - xxxx'!F19</f>
        <v>0</v>
      </c>
      <c r="L19" s="53">
        <f t="shared" si="0"/>
        <v>474805</v>
      </c>
      <c r="M19"/>
      <c r="N19"/>
      <c r="U19"/>
    </row>
    <row r="20" spans="1:22" s="8" customFormat="1" x14ac:dyDescent="0.2">
      <c r="A20" s="7">
        <v>16</v>
      </c>
      <c r="B20" s="205">
        <v>2041</v>
      </c>
      <c r="C20" s="174" t="s">
        <v>131</v>
      </c>
      <c r="D20" s="162">
        <f>SUM('č. 1 čl. přísp.'!F20)</f>
        <v>3146</v>
      </c>
      <c r="E20" s="162">
        <f>'č. 2 soc.služby'!G44</f>
        <v>18620</v>
      </c>
      <c r="F20" s="162">
        <f>SUM('č. 3 příspěvek OSA'!F21)</f>
        <v>668</v>
      </c>
      <c r="G20" s="162">
        <f>SUM('č. 4 protidrog.prevence'!D20)</f>
        <v>828</v>
      </c>
      <c r="H20" s="165">
        <f>' č.5 SVP'!F20</f>
        <v>2717</v>
      </c>
      <c r="I20" s="338">
        <v>0</v>
      </c>
      <c r="J20" s="339">
        <f>'č.7 komunitní plánování'!F20</f>
        <v>0</v>
      </c>
      <c r="K20" s="339">
        <f>'č. 8 - xxxx'!F20</f>
        <v>0</v>
      </c>
      <c r="L20" s="102">
        <f t="shared" si="0"/>
        <v>25979</v>
      </c>
      <c r="M20" s="6">
        <f>SUM(L20-G20)</f>
        <v>25151</v>
      </c>
      <c r="N20" s="240"/>
      <c r="O20"/>
      <c r="P20"/>
      <c r="Q20"/>
      <c r="R20"/>
      <c r="S20"/>
      <c r="T20"/>
    </row>
    <row r="21" spans="1:22" x14ac:dyDescent="0.2">
      <c r="A21" s="32">
        <v>17</v>
      </c>
      <c r="B21" s="204">
        <v>2009</v>
      </c>
      <c r="C21" s="173" t="s">
        <v>132</v>
      </c>
      <c r="D21" s="161">
        <f>SUM('č. 1 čl. přísp.'!F21)</f>
        <v>31196</v>
      </c>
      <c r="E21" s="161">
        <f>'č. 2 soc.služby'!G45</f>
        <v>0</v>
      </c>
      <c r="F21" s="161">
        <f>SUM('č. 3 příspěvek OSA'!F22)</f>
        <v>6619</v>
      </c>
      <c r="G21" s="161">
        <f>SUM('č. 4 protidrog.prevence'!D21)</f>
        <v>8211</v>
      </c>
      <c r="H21" s="164">
        <f>' č.5 SVP'!F21</f>
        <v>26942</v>
      </c>
      <c r="I21" s="161">
        <v>0</v>
      </c>
      <c r="J21" s="337">
        <f>'č.7 komunitní plánování'!F21</f>
        <v>0</v>
      </c>
      <c r="K21" s="337">
        <f>'č. 8 - xxxx'!F21</f>
        <v>0</v>
      </c>
      <c r="L21" s="53">
        <f>SUM(D21:K21)</f>
        <v>72968</v>
      </c>
      <c r="M21"/>
      <c r="N21"/>
      <c r="U21"/>
    </row>
    <row r="22" spans="1:22" s="8" customFormat="1" ht="13.5" thickBot="1" x14ac:dyDescent="0.25">
      <c r="A22" s="19">
        <v>18</v>
      </c>
      <c r="B22" s="207">
        <v>2053</v>
      </c>
      <c r="C22" s="174" t="s">
        <v>133</v>
      </c>
      <c r="D22" s="162">
        <f>SUM('č. 1 čl. přísp.'!F22)</f>
        <v>14553</v>
      </c>
      <c r="E22" s="162">
        <f>'č. 2 soc.služby'!G46</f>
        <v>86133</v>
      </c>
      <c r="F22" s="162">
        <f>SUM('č. 3 příspěvek OSA'!F23)</f>
        <v>3088</v>
      </c>
      <c r="G22" s="162">
        <f>SUM('č. 4 protidrog.prevence'!D22)</f>
        <v>3831</v>
      </c>
      <c r="H22" s="165">
        <f>' č.5 SVP'!F22</f>
        <v>12569</v>
      </c>
      <c r="I22" s="162">
        <v>0</v>
      </c>
      <c r="J22" s="339">
        <f>'č.7 komunitní plánování'!F22</f>
        <v>0</v>
      </c>
      <c r="K22" s="339">
        <f>'č. 8 - xxxx'!F22</f>
        <v>0</v>
      </c>
      <c r="L22" s="102">
        <f t="shared" si="0"/>
        <v>120174</v>
      </c>
      <c r="M22"/>
      <c r="N22"/>
      <c r="O22"/>
      <c r="P22"/>
      <c r="Q22"/>
      <c r="R22"/>
      <c r="S22"/>
      <c r="T22"/>
    </row>
    <row r="23" spans="1:22" ht="13.5" thickBot="1" x14ac:dyDescent="0.25">
      <c r="A23" s="23"/>
      <c r="B23" s="208"/>
      <c r="C23" s="41"/>
      <c r="D23" s="3">
        <f>ROUND(D5+D6+D7+D8+D9+D10+D11+D12+D13+D14+D15+D16+D17+D18+D19+D20+D21+D22,0)</f>
        <v>265947</v>
      </c>
      <c r="E23" s="43">
        <f t="shared" ref="E23:K23" si="1">SUM(E5:E22)</f>
        <v>1983274</v>
      </c>
      <c r="F23" s="43">
        <f t="shared" si="1"/>
        <v>40000</v>
      </c>
      <c r="G23" s="3">
        <f t="shared" si="1"/>
        <v>70003</v>
      </c>
      <c r="H23" s="166">
        <f t="shared" si="1"/>
        <v>229686</v>
      </c>
      <c r="I23" s="3">
        <f t="shared" si="1"/>
        <v>1200000</v>
      </c>
      <c r="J23" s="43">
        <f>SUM(J5:J22)</f>
        <v>0</v>
      </c>
      <c r="K23" s="43">
        <f t="shared" si="1"/>
        <v>0</v>
      </c>
      <c r="L23" s="3">
        <f>SUM(L5:L22)</f>
        <v>3788910</v>
      </c>
      <c r="M23" s="6">
        <f>SUM(E23+G23-G20)</f>
        <v>2052449</v>
      </c>
      <c r="N23"/>
      <c r="U23"/>
    </row>
    <row r="24" spans="1:22" ht="11.25" customHeight="1" x14ac:dyDescent="0.2">
      <c r="L24" s="1">
        <f>SUM(D23:K23)</f>
        <v>3788910</v>
      </c>
      <c r="M24" s="1">
        <v>387994.5</v>
      </c>
      <c r="N24"/>
      <c r="U24"/>
    </row>
    <row r="25" spans="1:22" x14ac:dyDescent="0.2">
      <c r="A25" s="445" t="s">
        <v>134</v>
      </c>
      <c r="B25" s="445"/>
      <c r="C25" s="445"/>
      <c r="D25" s="445"/>
      <c r="E25" s="445"/>
      <c r="F25" s="445"/>
      <c r="G25" s="445"/>
      <c r="H25" s="445"/>
      <c r="I25" s="445"/>
      <c r="J25" s="445"/>
      <c r="M25" s="1">
        <f>SUM(M23:M24)</f>
        <v>2440443.5</v>
      </c>
      <c r="N25"/>
      <c r="U25"/>
    </row>
    <row r="26" spans="1:22" x14ac:dyDescent="0.2">
      <c r="N26"/>
      <c r="U26"/>
    </row>
    <row r="27" spans="1:22" ht="13.5" thickBot="1" x14ac:dyDescent="0.25">
      <c r="A27" s="44"/>
      <c r="B27" s="44"/>
      <c r="C27" s="283" t="s">
        <v>135</v>
      </c>
      <c r="N27"/>
      <c r="U27"/>
    </row>
    <row r="28" spans="1:22" ht="13.5" thickBot="1" x14ac:dyDescent="0.25">
      <c r="C28" s="93" t="s">
        <v>136</v>
      </c>
      <c r="D28" s="136">
        <v>2018</v>
      </c>
      <c r="E28" s="137">
        <v>2019</v>
      </c>
      <c r="F28" s="137">
        <v>2020</v>
      </c>
      <c r="G28" s="137">
        <v>2021</v>
      </c>
      <c r="H28" s="137">
        <v>2022</v>
      </c>
      <c r="L28" s="341"/>
      <c r="N28" s="5"/>
      <c r="U28"/>
    </row>
    <row r="29" spans="1:22" x14ac:dyDescent="0.2">
      <c r="C29" s="86" t="s">
        <v>116</v>
      </c>
      <c r="D29" s="138">
        <v>688</v>
      </c>
      <c r="E29" s="138">
        <v>688</v>
      </c>
      <c r="F29" s="138">
        <v>682</v>
      </c>
      <c r="G29" s="138">
        <v>698</v>
      </c>
      <c r="H29" s="227">
        <v>691</v>
      </c>
      <c r="K29" s="213"/>
      <c r="L29" s="341"/>
      <c r="N29" s="5"/>
      <c r="U29"/>
    </row>
    <row r="30" spans="1:22" x14ac:dyDescent="0.2">
      <c r="C30" s="7" t="s">
        <v>117</v>
      </c>
      <c r="D30" s="139">
        <v>890</v>
      </c>
      <c r="E30" s="139">
        <v>933</v>
      </c>
      <c r="F30" s="139">
        <v>936</v>
      </c>
      <c r="G30" s="139">
        <v>933</v>
      </c>
      <c r="H30" s="228">
        <v>945</v>
      </c>
      <c r="I30" s="283"/>
      <c r="J30" s="283"/>
      <c r="K30" s="213"/>
      <c r="L30" s="283"/>
      <c r="M30" s="283"/>
      <c r="N30" s="283"/>
      <c r="O30" s="283"/>
      <c r="P30" s="283"/>
      <c r="Q30" s="283"/>
      <c r="R30" s="283"/>
      <c r="S30" s="283"/>
      <c r="T30" s="283"/>
      <c r="U30" s="283"/>
      <c r="V30" s="283"/>
    </row>
    <row r="31" spans="1:22" x14ac:dyDescent="0.2">
      <c r="C31" s="32" t="s">
        <v>118</v>
      </c>
      <c r="D31" s="140">
        <v>332</v>
      </c>
      <c r="E31" s="140">
        <v>324</v>
      </c>
      <c r="F31" s="140">
        <v>318</v>
      </c>
      <c r="G31" s="140">
        <v>312</v>
      </c>
      <c r="H31" s="227">
        <v>318</v>
      </c>
      <c r="I31" s="283"/>
      <c r="J31" s="283"/>
      <c r="K31" s="213"/>
      <c r="L31" s="283"/>
      <c r="M31" s="283"/>
      <c r="N31" s="283"/>
      <c r="O31" s="283"/>
      <c r="P31" s="283"/>
      <c r="Q31" s="283"/>
      <c r="R31" s="283"/>
      <c r="S31" s="283"/>
      <c r="T31" s="283"/>
      <c r="U31" s="283"/>
      <c r="V31" s="283"/>
    </row>
    <row r="32" spans="1:22" x14ac:dyDescent="0.2">
      <c r="C32" s="7" t="s">
        <v>119</v>
      </c>
      <c r="D32" s="139">
        <v>693</v>
      </c>
      <c r="E32" s="139">
        <v>714</v>
      </c>
      <c r="F32" s="139">
        <v>707</v>
      </c>
      <c r="G32" s="139">
        <v>715</v>
      </c>
      <c r="H32" s="228">
        <v>703</v>
      </c>
      <c r="I32" s="283"/>
      <c r="J32" s="283"/>
      <c r="K32" s="213"/>
      <c r="L32" s="283"/>
      <c r="M32" s="283"/>
      <c r="N32" s="283"/>
      <c r="O32" s="283"/>
      <c r="P32" s="283"/>
      <c r="Q32" s="283"/>
      <c r="R32" s="283"/>
      <c r="S32" s="283"/>
      <c r="T32" s="283"/>
      <c r="U32" s="283"/>
      <c r="V32" s="283"/>
    </row>
    <row r="33" spans="1:22" x14ac:dyDescent="0.2">
      <c r="A33" s="283"/>
      <c r="B33" s="283"/>
      <c r="C33" s="32" t="s">
        <v>120</v>
      </c>
      <c r="D33" s="140">
        <v>536</v>
      </c>
      <c r="E33" s="140">
        <v>531</v>
      </c>
      <c r="F33" s="140">
        <v>534</v>
      </c>
      <c r="G33" s="140">
        <v>539</v>
      </c>
      <c r="H33" s="227">
        <v>558</v>
      </c>
      <c r="I33" s="283"/>
      <c r="J33" s="283"/>
      <c r="K33" s="213"/>
      <c r="L33" s="283"/>
      <c r="M33" s="283"/>
      <c r="N33" s="283"/>
      <c r="O33" s="283"/>
      <c r="P33" s="283"/>
      <c r="Q33" s="283"/>
      <c r="R33" s="283"/>
      <c r="S33" s="283"/>
      <c r="T33" s="283"/>
      <c r="U33" s="283"/>
      <c r="V33" s="283"/>
    </row>
    <row r="34" spans="1:22" s="8" customFormat="1" x14ac:dyDescent="0.2">
      <c r="A34" s="283"/>
      <c r="B34" s="283"/>
      <c r="C34" s="7" t="s">
        <v>121</v>
      </c>
      <c r="D34" s="139">
        <v>7423</v>
      </c>
      <c r="E34" s="139">
        <v>7531</v>
      </c>
      <c r="F34" s="139">
        <v>7364</v>
      </c>
      <c r="G34" s="139">
        <v>7376</v>
      </c>
      <c r="H34" s="228">
        <v>7301</v>
      </c>
      <c r="I34" s="283"/>
      <c r="J34" s="283"/>
      <c r="K34" s="213"/>
      <c r="L34" s="283"/>
      <c r="M34" s="283"/>
      <c r="N34" s="283"/>
      <c r="O34" s="283"/>
      <c r="P34" s="283"/>
      <c r="Q34" s="283"/>
      <c r="R34" s="283"/>
      <c r="S34" s="283"/>
      <c r="T34" s="283"/>
      <c r="U34" s="283"/>
      <c r="V34" s="283"/>
    </row>
    <row r="35" spans="1:22" x14ac:dyDescent="0.2">
      <c r="A35" s="283"/>
      <c r="B35" s="283"/>
      <c r="C35" s="32" t="s">
        <v>122</v>
      </c>
      <c r="D35" s="140">
        <v>471</v>
      </c>
      <c r="E35" s="140">
        <v>507</v>
      </c>
      <c r="F35" s="140">
        <v>447</v>
      </c>
      <c r="G35" s="140">
        <v>457</v>
      </c>
      <c r="H35" s="227">
        <v>443</v>
      </c>
      <c r="I35" s="283"/>
      <c r="J35" s="283"/>
      <c r="K35" s="213"/>
      <c r="L35" s="283"/>
      <c r="M35" s="283"/>
      <c r="N35" s="283"/>
      <c r="O35" s="283"/>
      <c r="P35" s="283"/>
      <c r="Q35" s="283"/>
      <c r="R35" s="283"/>
      <c r="S35" s="283"/>
      <c r="T35" s="283"/>
      <c r="U35" s="283"/>
      <c r="V35" s="283"/>
    </row>
    <row r="36" spans="1:22" s="8" customFormat="1" x14ac:dyDescent="0.2">
      <c r="A36" s="283"/>
      <c r="B36" s="283"/>
      <c r="C36" s="7" t="s">
        <v>123</v>
      </c>
      <c r="D36" s="139">
        <v>2712</v>
      </c>
      <c r="E36" s="139">
        <v>2721</v>
      </c>
      <c r="F36" s="139">
        <v>2711</v>
      </c>
      <c r="G36" s="139">
        <v>2707</v>
      </c>
      <c r="H36" s="228">
        <v>2699</v>
      </c>
      <c r="I36" s="283"/>
      <c r="J36" s="283"/>
      <c r="K36" s="213"/>
      <c r="L36" s="283"/>
      <c r="M36" s="283"/>
      <c r="N36" s="283"/>
      <c r="O36" s="283"/>
      <c r="P36" s="283"/>
      <c r="Q36" s="283"/>
      <c r="R36" s="283"/>
      <c r="S36" s="283"/>
      <c r="T36" s="283"/>
      <c r="U36" s="283"/>
      <c r="V36" s="283"/>
    </row>
    <row r="37" spans="1:22" x14ac:dyDescent="0.2">
      <c r="A37" s="283"/>
      <c r="B37" s="283"/>
      <c r="C37" s="32" t="s">
        <v>124</v>
      </c>
      <c r="D37" s="140">
        <v>269</v>
      </c>
      <c r="E37" s="140">
        <v>264</v>
      </c>
      <c r="F37" s="140">
        <v>276</v>
      </c>
      <c r="G37" s="140">
        <v>283</v>
      </c>
      <c r="H37" s="227">
        <v>266</v>
      </c>
      <c r="I37" s="283"/>
      <c r="J37" s="283"/>
      <c r="K37" s="213"/>
      <c r="L37" s="283"/>
      <c r="M37" s="283"/>
      <c r="N37" s="283"/>
      <c r="O37" s="283"/>
      <c r="P37" s="283"/>
      <c r="Q37" s="283"/>
      <c r="R37" s="283"/>
      <c r="S37" s="283"/>
      <c r="T37" s="283"/>
      <c r="U37" s="283"/>
      <c r="V37" s="283"/>
    </row>
    <row r="38" spans="1:22" s="8" customFormat="1" x14ac:dyDescent="0.2">
      <c r="A38" s="283"/>
      <c r="B38" s="283"/>
      <c r="C38" s="7" t="s">
        <v>125</v>
      </c>
      <c r="D38" s="139">
        <v>219</v>
      </c>
      <c r="E38" s="139">
        <v>227</v>
      </c>
      <c r="F38" s="139">
        <v>227</v>
      </c>
      <c r="G38" s="139">
        <v>234</v>
      </c>
      <c r="H38" s="228">
        <v>227</v>
      </c>
      <c r="I38" s="283"/>
      <c r="J38" s="283"/>
      <c r="K38" s="213"/>
      <c r="L38" s="283"/>
      <c r="M38" s="283"/>
      <c r="N38" s="283"/>
      <c r="O38" s="283"/>
      <c r="P38" s="283"/>
      <c r="Q38" s="283"/>
      <c r="R38" s="283"/>
      <c r="S38" s="283"/>
      <c r="T38" s="283"/>
      <c r="U38" s="283"/>
      <c r="V38" s="283"/>
    </row>
    <row r="39" spans="1:22" x14ac:dyDescent="0.2">
      <c r="A39" s="283"/>
      <c r="B39" s="283"/>
      <c r="C39" s="32" t="s">
        <v>126</v>
      </c>
      <c r="D39" s="140">
        <v>663</v>
      </c>
      <c r="E39" s="140">
        <v>655</v>
      </c>
      <c r="F39" s="140">
        <v>647</v>
      </c>
      <c r="G39" s="140">
        <v>643</v>
      </c>
      <c r="H39" s="227">
        <v>644</v>
      </c>
      <c r="I39" s="283"/>
      <c r="J39" s="283"/>
      <c r="K39" s="213"/>
      <c r="L39" s="283"/>
      <c r="M39" s="283"/>
      <c r="N39" s="283"/>
      <c r="O39" s="283"/>
      <c r="P39" s="283"/>
      <c r="Q39" s="283"/>
      <c r="R39" s="283"/>
      <c r="S39" s="283"/>
      <c r="T39" s="283"/>
      <c r="U39" s="283"/>
      <c r="V39" s="283"/>
    </row>
    <row r="40" spans="1:22" s="8" customFormat="1" x14ac:dyDescent="0.2">
      <c r="A40" s="283"/>
      <c r="B40" s="283"/>
      <c r="C40" s="7" t="s">
        <v>127</v>
      </c>
      <c r="D40" s="139">
        <v>472</v>
      </c>
      <c r="E40" s="139">
        <v>462</v>
      </c>
      <c r="F40" s="139">
        <v>487</v>
      </c>
      <c r="G40" s="139">
        <v>489</v>
      </c>
      <c r="H40" s="228">
        <v>482</v>
      </c>
      <c r="I40" s="283"/>
      <c r="J40" s="283"/>
      <c r="K40" s="213"/>
      <c r="L40" s="283"/>
      <c r="M40" s="283"/>
      <c r="N40" s="283"/>
      <c r="O40" s="283"/>
      <c r="P40" s="283"/>
      <c r="Q40" s="283"/>
      <c r="R40" s="283"/>
      <c r="S40" s="283"/>
      <c r="T40" s="283"/>
      <c r="U40" s="283"/>
      <c r="V40" s="283"/>
    </row>
    <row r="41" spans="1:22" x14ac:dyDescent="0.2">
      <c r="A41" s="283"/>
      <c r="B41" s="283"/>
      <c r="C41" s="32" t="s">
        <v>128</v>
      </c>
      <c r="D41" s="140">
        <v>371</v>
      </c>
      <c r="E41" s="140">
        <v>368</v>
      </c>
      <c r="F41" s="140">
        <v>361</v>
      </c>
      <c r="G41" s="140">
        <v>358</v>
      </c>
      <c r="H41" s="227">
        <v>360</v>
      </c>
      <c r="I41" s="283"/>
      <c r="J41" s="283"/>
      <c r="K41" s="213"/>
      <c r="L41" s="283"/>
      <c r="M41" s="283"/>
      <c r="N41" s="283"/>
      <c r="O41" s="283"/>
      <c r="P41" s="283"/>
      <c r="Q41" s="283"/>
      <c r="R41" s="283"/>
      <c r="S41" s="283"/>
      <c r="T41" s="283"/>
      <c r="U41" s="283"/>
      <c r="V41" s="283"/>
    </row>
    <row r="42" spans="1:22" s="8" customFormat="1" x14ac:dyDescent="0.2">
      <c r="A42" s="283"/>
      <c r="B42" s="283"/>
      <c r="C42" s="7" t="s">
        <v>129</v>
      </c>
      <c r="D42" s="139">
        <v>482</v>
      </c>
      <c r="E42" s="139">
        <v>424</v>
      </c>
      <c r="F42" s="139">
        <v>436</v>
      </c>
      <c r="G42" s="139">
        <v>438</v>
      </c>
      <c r="H42" s="228">
        <v>446</v>
      </c>
      <c r="I42" s="283"/>
      <c r="J42" s="283"/>
      <c r="K42" s="213"/>
      <c r="L42" s="283"/>
      <c r="M42" s="283"/>
      <c r="N42" s="283"/>
      <c r="O42" s="283"/>
      <c r="P42" s="283"/>
      <c r="Q42" s="283"/>
      <c r="R42" s="283"/>
      <c r="S42" s="283"/>
      <c r="T42" s="283"/>
      <c r="U42" s="283"/>
      <c r="V42" s="283"/>
    </row>
    <row r="43" spans="1:22" x14ac:dyDescent="0.2">
      <c r="A43" s="283"/>
      <c r="B43" s="283"/>
      <c r="C43" s="89" t="s">
        <v>130</v>
      </c>
      <c r="D43" s="141">
        <v>3672</v>
      </c>
      <c r="E43" s="141">
        <v>3674</v>
      </c>
      <c r="F43" s="141">
        <v>3678</v>
      </c>
      <c r="G43" s="141">
        <v>3668</v>
      </c>
      <c r="H43" s="227">
        <v>3649</v>
      </c>
      <c r="I43" s="283"/>
      <c r="J43" s="283"/>
      <c r="K43" s="213"/>
      <c r="L43" s="283"/>
      <c r="M43" s="283"/>
      <c r="N43" s="283"/>
      <c r="O43" s="283"/>
      <c r="P43" s="283"/>
      <c r="Q43" s="283"/>
      <c r="R43" s="283"/>
      <c r="S43" s="283"/>
      <c r="T43" s="283"/>
      <c r="U43" s="283"/>
      <c r="V43" s="283"/>
    </row>
    <row r="44" spans="1:22" s="8" customFormat="1" x14ac:dyDescent="0.2">
      <c r="A44" s="283"/>
      <c r="B44" s="283"/>
      <c r="C44" s="7" t="s">
        <v>131</v>
      </c>
      <c r="D44" s="139">
        <v>280</v>
      </c>
      <c r="E44" s="139">
        <v>291</v>
      </c>
      <c r="F44" s="139">
        <v>287</v>
      </c>
      <c r="G44" s="139">
        <v>293</v>
      </c>
      <c r="H44" s="228">
        <v>286</v>
      </c>
      <c r="I44" s="283"/>
      <c r="J44" s="283"/>
      <c r="K44" s="213"/>
      <c r="L44" s="283"/>
      <c r="M44" s="283"/>
      <c r="N44" s="283"/>
      <c r="O44" s="283"/>
      <c r="P44" s="283"/>
      <c r="Q44" s="283"/>
      <c r="R44" s="283"/>
      <c r="S44" s="283"/>
      <c r="T44" s="283"/>
      <c r="U44" s="283"/>
      <c r="V44" s="283"/>
    </row>
    <row r="45" spans="1:22" x14ac:dyDescent="0.2">
      <c r="A45" s="283"/>
      <c r="B45" s="283"/>
      <c r="C45" s="32" t="s">
        <v>137</v>
      </c>
      <c r="D45" s="140">
        <v>2834</v>
      </c>
      <c r="E45" s="140">
        <v>2851</v>
      </c>
      <c r="F45" s="140">
        <v>2812</v>
      </c>
      <c r="G45" s="140">
        <v>2832</v>
      </c>
      <c r="H45" s="227">
        <v>2836</v>
      </c>
      <c r="I45" s="283"/>
      <c r="J45" s="283"/>
      <c r="K45" s="213"/>
      <c r="L45" s="283"/>
      <c r="M45" s="283"/>
      <c r="N45" s="283"/>
      <c r="O45" s="283"/>
      <c r="P45" s="283"/>
      <c r="Q45" s="283"/>
      <c r="R45" s="283"/>
      <c r="S45" s="283"/>
      <c r="T45" s="283"/>
      <c r="U45" s="283"/>
      <c r="V45" s="283"/>
    </row>
    <row r="46" spans="1:22" s="8" customFormat="1" ht="13.5" thickBot="1" x14ac:dyDescent="0.25">
      <c r="A46" s="283"/>
      <c r="B46" s="283"/>
      <c r="C46" s="91" t="s">
        <v>133</v>
      </c>
      <c r="D46" s="142">
        <v>1333</v>
      </c>
      <c r="E46" s="142">
        <v>1331</v>
      </c>
      <c r="F46" s="142">
        <v>1326</v>
      </c>
      <c r="G46" s="142">
        <v>1318</v>
      </c>
      <c r="H46" s="228">
        <v>1323</v>
      </c>
      <c r="I46" s="283"/>
      <c r="J46" s="283"/>
      <c r="K46" s="213"/>
      <c r="L46" s="283"/>
      <c r="M46" s="283"/>
      <c r="N46" s="283"/>
      <c r="O46" s="283"/>
      <c r="P46" s="283"/>
      <c r="Q46" s="283"/>
      <c r="R46" s="283"/>
      <c r="S46" s="283"/>
      <c r="T46" s="283"/>
      <c r="U46" s="283"/>
      <c r="V46" s="283"/>
    </row>
    <row r="47" spans="1:22" ht="13.5" thickBot="1" x14ac:dyDescent="0.25">
      <c r="A47" s="283"/>
      <c r="B47" s="283"/>
      <c r="C47" s="93"/>
      <c r="D47" s="143">
        <f>SUM(D29:D46)</f>
        <v>24340</v>
      </c>
      <c r="E47" s="144">
        <f>SUM(E29:E46)</f>
        <v>24496</v>
      </c>
      <c r="F47" s="144">
        <f>SUM(F29:F46)</f>
        <v>24236</v>
      </c>
      <c r="G47" s="144">
        <f>SUM(G29:G46)</f>
        <v>24293</v>
      </c>
      <c r="H47" s="144">
        <f>SUM(H29:H46)</f>
        <v>24177</v>
      </c>
      <c r="I47" s="283"/>
      <c r="J47" s="283"/>
      <c r="K47" s="283"/>
      <c r="L47" s="283"/>
      <c r="M47" s="283"/>
      <c r="N47" s="283"/>
      <c r="O47" s="283"/>
      <c r="P47" s="283"/>
      <c r="Q47" s="283"/>
      <c r="R47" s="283"/>
      <c r="S47" s="283"/>
      <c r="T47" s="283"/>
      <c r="U47" s="283"/>
      <c r="V47" s="283"/>
    </row>
    <row r="48" spans="1:22" s="8" customFormat="1" x14ac:dyDescent="0.2">
      <c r="A48" s="283"/>
      <c r="B48" s="283"/>
      <c r="C48" s="283"/>
      <c r="D48" s="283"/>
      <c r="E48" s="283"/>
      <c r="F48" s="283"/>
      <c r="G48" s="283"/>
      <c r="H48" s="283"/>
      <c r="I48" s="283"/>
      <c r="J48" s="283"/>
      <c r="K48" s="283"/>
      <c r="L48" s="283"/>
      <c r="M48" s="283"/>
      <c r="N48" s="283"/>
      <c r="O48" s="283"/>
      <c r="P48" s="283"/>
      <c r="Q48" s="283"/>
      <c r="R48" s="283"/>
      <c r="S48" s="283"/>
      <c r="T48" s="283"/>
      <c r="U48" s="283"/>
    </row>
    <row r="49" spans="1:21" ht="14.25" x14ac:dyDescent="0.2">
      <c r="A49" s="283"/>
      <c r="B49" s="283"/>
      <c r="C49" s="443" t="str">
        <f>'rozpis rozpočtu 2023'!A46</f>
        <v>Hana Němcová / Anna Randáková</v>
      </c>
      <c r="D49" s="444"/>
      <c r="E49" s="444"/>
      <c r="F49" s="444"/>
      <c r="G49" s="212"/>
      <c r="H49" s="5"/>
      <c r="I49" s="5"/>
      <c r="J49" s="5"/>
      <c r="K49" s="5"/>
      <c r="L49" s="283"/>
      <c r="M49" s="283"/>
      <c r="N49" s="283"/>
      <c r="O49" s="283"/>
      <c r="P49" s="283"/>
      <c r="Q49" s="283"/>
      <c r="R49" s="283"/>
      <c r="S49" s="283"/>
      <c r="T49" s="283"/>
      <c r="U49" s="283"/>
    </row>
    <row r="50" spans="1:21" s="8" customFormat="1" ht="14.25" x14ac:dyDescent="0.2">
      <c r="A50" s="283"/>
      <c r="B50" s="283"/>
      <c r="C50" s="215">
        <f>'č. 1 čl. přísp.'!A28</f>
        <v>44844</v>
      </c>
      <c r="D50" s="216"/>
      <c r="E50" s="216"/>
      <c r="F50" s="216"/>
      <c r="G50" s="216"/>
      <c r="H50" s="216"/>
      <c r="I50" s="216"/>
      <c r="J50" s="216"/>
      <c r="K50" s="216"/>
      <c r="L50" s="283"/>
      <c r="M50" s="283"/>
      <c r="N50" s="283"/>
      <c r="O50" s="283"/>
      <c r="P50" s="283"/>
      <c r="Q50" s="283"/>
      <c r="R50" s="283"/>
      <c r="S50" s="283"/>
      <c r="T50" s="283"/>
      <c r="U50" s="283"/>
    </row>
    <row r="51" spans="1:21" x14ac:dyDescent="0.2">
      <c r="A51" s="283"/>
      <c r="B51" s="283"/>
      <c r="C51" s="283"/>
      <c r="D51" s="283"/>
      <c r="E51" s="283"/>
      <c r="F51" s="283"/>
      <c r="G51" s="283"/>
      <c r="H51" s="283"/>
      <c r="I51" s="283"/>
      <c r="J51" s="283"/>
      <c r="K51" s="283"/>
      <c r="L51" s="283"/>
      <c r="M51" s="283"/>
      <c r="N51" s="283"/>
      <c r="O51" s="283"/>
      <c r="P51" s="283"/>
      <c r="Q51" s="283"/>
      <c r="R51" s="283"/>
      <c r="S51" s="283"/>
      <c r="T51" s="283"/>
      <c r="U51" s="283"/>
    </row>
    <row r="52" spans="1:21" x14ac:dyDescent="0.2">
      <c r="A52" s="283"/>
      <c r="B52" s="283"/>
      <c r="C52" s="283"/>
      <c r="D52" s="283"/>
      <c r="E52" s="283"/>
      <c r="F52" s="283"/>
      <c r="G52" s="283"/>
      <c r="H52" s="283"/>
      <c r="I52" s="283"/>
      <c r="J52" s="283"/>
      <c r="K52" s="283"/>
      <c r="L52" s="283"/>
      <c r="M52" s="283"/>
      <c r="N52" s="283"/>
      <c r="O52" s="283"/>
      <c r="P52" s="283"/>
      <c r="Q52" s="283"/>
      <c r="R52" s="283"/>
      <c r="S52" s="283"/>
      <c r="T52" s="283"/>
      <c r="U52" s="283"/>
    </row>
    <row r="53" spans="1:21" x14ac:dyDescent="0.2">
      <c r="A53" s="283"/>
      <c r="B53" s="283"/>
      <c r="C53" s="283"/>
      <c r="D53" s="283"/>
      <c r="E53" s="283"/>
      <c r="F53" s="283"/>
      <c r="G53" s="283"/>
      <c r="H53" s="283"/>
      <c r="I53" s="283"/>
      <c r="J53" s="283"/>
      <c r="K53" s="283"/>
      <c r="L53" s="283"/>
      <c r="M53" s="283"/>
      <c r="N53" s="283"/>
      <c r="O53" s="283"/>
      <c r="P53" s="283"/>
      <c r="Q53" s="283"/>
      <c r="R53" s="283"/>
      <c r="S53" s="283"/>
      <c r="T53" s="283"/>
      <c r="U53" s="283"/>
    </row>
    <row r="54" spans="1:21" x14ac:dyDescent="0.2">
      <c r="C54" s="283"/>
      <c r="D54" s="283"/>
      <c r="E54" s="283"/>
      <c r="F54" s="283"/>
      <c r="G54" s="283"/>
      <c r="H54" s="283"/>
      <c r="I54" s="283"/>
      <c r="J54" s="283"/>
      <c r="K54" s="283"/>
      <c r="L54" s="283"/>
      <c r="M54" s="283"/>
      <c r="N54" s="283"/>
      <c r="O54" s="283"/>
      <c r="P54" s="283"/>
      <c r="Q54" s="283"/>
      <c r="R54" s="283"/>
      <c r="S54" s="283"/>
      <c r="T54" s="283"/>
      <c r="U54" s="283"/>
    </row>
    <row r="55" spans="1:21" x14ac:dyDescent="0.2">
      <c r="C55" s="283"/>
      <c r="D55" s="283"/>
      <c r="E55" s="283"/>
      <c r="F55" s="283"/>
      <c r="G55" s="283"/>
      <c r="H55" s="283"/>
      <c r="I55" s="283"/>
      <c r="J55" s="283"/>
      <c r="K55" s="283"/>
      <c r="L55" s="283"/>
      <c r="M55" s="283"/>
      <c r="N55" s="283"/>
      <c r="O55" s="283"/>
      <c r="P55" s="283"/>
      <c r="Q55" s="283"/>
      <c r="R55" s="283"/>
      <c r="S55" s="283"/>
      <c r="T55" s="283"/>
      <c r="U55" s="283"/>
    </row>
    <row r="56" spans="1:21" x14ac:dyDescent="0.2">
      <c r="C56" s="283"/>
      <c r="D56" s="283"/>
      <c r="E56" s="283"/>
      <c r="F56" s="283"/>
      <c r="G56" s="283"/>
      <c r="H56" s="283"/>
      <c r="I56" s="283"/>
      <c r="J56" s="283"/>
      <c r="K56" s="283"/>
      <c r="L56" s="283"/>
      <c r="M56" s="283"/>
      <c r="N56" s="283"/>
      <c r="O56" s="283"/>
      <c r="P56" s="283"/>
      <c r="Q56" s="283"/>
      <c r="R56" s="283"/>
      <c r="S56" s="283"/>
      <c r="T56" s="283"/>
      <c r="U56" s="283"/>
    </row>
    <row r="57" spans="1:21" x14ac:dyDescent="0.2">
      <c r="C57" s="283"/>
      <c r="D57" s="283"/>
      <c r="E57" s="283"/>
      <c r="F57" s="283"/>
      <c r="G57" s="283"/>
      <c r="H57" s="283"/>
      <c r="I57" s="283"/>
      <c r="J57" s="283"/>
      <c r="K57" s="283"/>
      <c r="L57" s="283"/>
      <c r="M57" s="283"/>
      <c r="N57" s="283"/>
      <c r="O57" s="283"/>
      <c r="P57" s="283"/>
      <c r="Q57" s="283"/>
      <c r="R57" s="283"/>
      <c r="S57" s="283"/>
      <c r="T57" s="283"/>
      <c r="U57" s="283"/>
    </row>
    <row r="58" spans="1:21" x14ac:dyDescent="0.2">
      <c r="C58" s="283"/>
      <c r="D58" s="283"/>
      <c r="E58" s="283"/>
      <c r="F58" s="283"/>
      <c r="G58" s="283"/>
      <c r="H58" s="283"/>
      <c r="I58" s="283"/>
      <c r="J58" s="283"/>
      <c r="M58"/>
      <c r="N58"/>
      <c r="U58"/>
    </row>
    <row r="59" spans="1:21" x14ac:dyDescent="0.2">
      <c r="C59" s="283"/>
      <c r="D59" s="283"/>
      <c r="E59" s="283"/>
      <c r="F59" s="283"/>
      <c r="G59" s="283"/>
      <c r="H59" s="283"/>
      <c r="I59" s="283"/>
      <c r="J59" s="283"/>
      <c r="M59"/>
      <c r="N59"/>
      <c r="U59"/>
    </row>
    <row r="60" spans="1:21" x14ac:dyDescent="0.2">
      <c r="C60" s="283"/>
      <c r="D60" s="283"/>
      <c r="E60" s="283"/>
      <c r="F60" s="283"/>
      <c r="G60" s="283"/>
      <c r="H60" s="283"/>
      <c r="I60" s="283"/>
      <c r="J60" s="283"/>
      <c r="M60"/>
      <c r="N60"/>
      <c r="U60"/>
    </row>
    <row r="61" spans="1:21" x14ac:dyDescent="0.2">
      <c r="C61" s="283"/>
      <c r="D61" s="283"/>
      <c r="E61" s="283"/>
      <c r="F61" s="283"/>
      <c r="G61" s="283"/>
      <c r="H61" s="283"/>
      <c r="I61" s="283"/>
      <c r="J61" s="283"/>
      <c r="M61"/>
      <c r="N61"/>
      <c r="U61"/>
    </row>
    <row r="62" spans="1:21" x14ac:dyDescent="0.2">
      <c r="C62" s="283"/>
      <c r="D62" s="283"/>
      <c r="E62" s="283"/>
      <c r="F62" s="283"/>
      <c r="G62" s="283"/>
      <c r="H62" s="283"/>
      <c r="I62" s="283"/>
      <c r="J62" s="283"/>
      <c r="M62"/>
      <c r="N62"/>
      <c r="U62"/>
    </row>
    <row r="63" spans="1:21" x14ac:dyDescent="0.2">
      <c r="M63"/>
      <c r="N63"/>
      <c r="U63"/>
    </row>
    <row r="64" spans="1:21" x14ac:dyDescent="0.2">
      <c r="M64"/>
      <c r="N64"/>
      <c r="U64"/>
    </row>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sheetData>
  <mergeCells count="3">
    <mergeCell ref="A1:M1"/>
    <mergeCell ref="C49:F49"/>
    <mergeCell ref="A25:J25"/>
  </mergeCells>
  <pageMargins left="0.25" right="0.25" top="0.75" bottom="0.75" header="0.3" footer="0.3"/>
  <pageSetup paperSize="9" scale="4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H53"/>
  <sheetViews>
    <sheetView topLeftCell="A3" workbookViewId="0">
      <selection activeCell="A28" sqref="A28"/>
    </sheetView>
  </sheetViews>
  <sheetFormatPr defaultRowHeight="12.75" x14ac:dyDescent="0.2"/>
  <cols>
    <col min="1" max="1" width="15.5703125" customWidth="1"/>
    <col min="2" max="2" width="24.5703125" customWidth="1"/>
    <col min="3" max="3" width="11.140625" customWidth="1"/>
    <col min="4" max="4" width="15.28515625" customWidth="1"/>
    <col min="5" max="5" width="14.7109375" customWidth="1"/>
    <col min="6" max="6" width="16.28515625" style="1" customWidth="1"/>
    <col min="7" max="7" width="17.28515625" customWidth="1"/>
    <col min="8" max="8" width="18.28515625" customWidth="1"/>
    <col min="9" max="9" width="13" customWidth="1"/>
    <col min="12" max="12" width="9.140625" customWidth="1"/>
  </cols>
  <sheetData>
    <row r="1" spans="1:8" ht="15.75" x14ac:dyDescent="0.25">
      <c r="A1" s="446" t="s">
        <v>138</v>
      </c>
      <c r="B1" s="446"/>
      <c r="C1" s="446"/>
      <c r="D1" s="446"/>
      <c r="E1" s="446"/>
      <c r="F1" s="446"/>
    </row>
    <row r="2" spans="1:8" ht="13.5" thickBot="1" x14ac:dyDescent="0.25">
      <c r="A2" s="59"/>
      <c r="F2" s="342" t="s">
        <v>139</v>
      </c>
    </row>
    <row r="3" spans="1:8" ht="38.25" x14ac:dyDescent="0.2">
      <c r="A3" s="24"/>
      <c r="B3" s="25" t="s">
        <v>106</v>
      </c>
      <c r="C3" s="25" t="s">
        <v>105</v>
      </c>
      <c r="D3" s="26" t="s">
        <v>140</v>
      </c>
      <c r="E3" s="25" t="s">
        <v>141</v>
      </c>
      <c r="F3" s="27" t="s">
        <v>142</v>
      </c>
      <c r="H3" s="283"/>
    </row>
    <row r="4" spans="1:8" ht="5.25" customHeight="1" x14ac:dyDescent="0.2">
      <c r="A4" s="46"/>
      <c r="B4" s="47"/>
      <c r="C4" s="73"/>
      <c r="D4" s="47"/>
      <c r="E4" s="47"/>
      <c r="F4" s="48"/>
    </row>
    <row r="5" spans="1:8" x14ac:dyDescent="0.2">
      <c r="A5" s="32">
        <v>1</v>
      </c>
      <c r="B5" s="33" t="s">
        <v>116</v>
      </c>
      <c r="C5" s="33">
        <v>2012</v>
      </c>
      <c r="D5" s="229">
        <f>'Sumář všech příspěvků rok 2023'!H29</f>
        <v>691</v>
      </c>
      <c r="E5" s="343">
        <v>11</v>
      </c>
      <c r="F5" s="45">
        <f>SUM(D5*E5)</f>
        <v>7601</v>
      </c>
      <c r="H5" s="55">
        <f>18124+4531+1631</f>
        <v>24286</v>
      </c>
    </row>
    <row r="6" spans="1:8" x14ac:dyDescent="0.2">
      <c r="A6" s="7">
        <v>2</v>
      </c>
      <c r="B6" s="9" t="s">
        <v>117</v>
      </c>
      <c r="C6" s="9">
        <v>2013</v>
      </c>
      <c r="D6" s="230">
        <f>'Sumář všech příspěvků rok 2023'!H30</f>
        <v>945</v>
      </c>
      <c r="E6" s="344">
        <f>E5</f>
        <v>11</v>
      </c>
      <c r="F6" s="28">
        <f t="shared" ref="F6:F22" si="0">SUM(D6*E6)</f>
        <v>10395</v>
      </c>
      <c r="H6" s="55">
        <v>13298</v>
      </c>
    </row>
    <row r="7" spans="1:8" x14ac:dyDescent="0.2">
      <c r="A7" s="32">
        <v>3</v>
      </c>
      <c r="B7" s="33" t="s">
        <v>118</v>
      </c>
      <c r="C7" s="33">
        <v>2015</v>
      </c>
      <c r="D7" s="229">
        <f>'Sumář všech příspěvků rok 2023'!H31</f>
        <v>318</v>
      </c>
      <c r="E7" s="343">
        <f t="shared" ref="E7:E22" si="1">E6</f>
        <v>11</v>
      </c>
      <c r="F7" s="45">
        <f t="shared" si="0"/>
        <v>3498</v>
      </c>
      <c r="H7" s="55">
        <v>3750</v>
      </c>
    </row>
    <row r="8" spans="1:8" x14ac:dyDescent="0.2">
      <c r="A8" s="7">
        <v>4</v>
      </c>
      <c r="B8" s="9" t="s">
        <v>119</v>
      </c>
      <c r="C8" s="9">
        <v>2017</v>
      </c>
      <c r="D8" s="230">
        <f>'Sumář všech příspěvků rok 2023'!H32</f>
        <v>703</v>
      </c>
      <c r="E8" s="344">
        <f t="shared" si="1"/>
        <v>11</v>
      </c>
      <c r="F8" s="28">
        <f t="shared" si="0"/>
        <v>7733</v>
      </c>
      <c r="H8" s="55">
        <v>2000</v>
      </c>
    </row>
    <row r="9" spans="1:8" x14ac:dyDescent="0.2">
      <c r="A9" s="32">
        <v>5</v>
      </c>
      <c r="B9" s="33" t="s">
        <v>120</v>
      </c>
      <c r="C9" s="33">
        <v>2019</v>
      </c>
      <c r="D9" s="229">
        <f>'Sumář všech příspěvků rok 2023'!H33</f>
        <v>558</v>
      </c>
      <c r="E9" s="343">
        <f t="shared" si="1"/>
        <v>11</v>
      </c>
      <c r="F9" s="45">
        <f t="shared" si="0"/>
        <v>6138</v>
      </c>
      <c r="H9" s="55">
        <v>2000</v>
      </c>
    </row>
    <row r="10" spans="1:8" x14ac:dyDescent="0.2">
      <c r="A10" s="7">
        <v>6</v>
      </c>
      <c r="B10" s="9" t="s">
        <v>121</v>
      </c>
      <c r="C10" s="9">
        <v>2003</v>
      </c>
      <c r="D10" s="230">
        <f>'Sumář všech příspěvků rok 2023'!H34</f>
        <v>7301</v>
      </c>
      <c r="E10" s="344">
        <f t="shared" si="1"/>
        <v>11</v>
      </c>
      <c r="F10" s="28">
        <f t="shared" si="0"/>
        <v>80311</v>
      </c>
      <c r="H10" s="55">
        <f>SUM(H5:H9)</f>
        <v>45334</v>
      </c>
    </row>
    <row r="11" spans="1:8" x14ac:dyDescent="0.2">
      <c r="A11" s="32">
        <v>7</v>
      </c>
      <c r="B11" s="33" t="s">
        <v>122</v>
      </c>
      <c r="C11" s="33">
        <v>2020</v>
      </c>
      <c r="D11" s="229">
        <f>'Sumář všech příspěvků rok 2023'!H35</f>
        <v>443</v>
      </c>
      <c r="E11" s="343">
        <f t="shared" si="1"/>
        <v>11</v>
      </c>
      <c r="F11" s="45">
        <f t="shared" si="0"/>
        <v>4873</v>
      </c>
      <c r="H11" s="55">
        <f>H10/D23</f>
        <v>1.8750878934524549</v>
      </c>
    </row>
    <row r="12" spans="1:8" x14ac:dyDescent="0.2">
      <c r="A12" s="7">
        <v>8</v>
      </c>
      <c r="B12" s="9" t="s">
        <v>123</v>
      </c>
      <c r="C12" s="9">
        <v>2004</v>
      </c>
      <c r="D12" s="230">
        <f>'Sumář všech příspěvků rok 2023'!H36</f>
        <v>2699</v>
      </c>
      <c r="E12" s="344">
        <f t="shared" si="1"/>
        <v>11</v>
      </c>
      <c r="F12" s="28">
        <f t="shared" si="0"/>
        <v>29689</v>
      </c>
      <c r="H12" s="55"/>
    </row>
    <row r="13" spans="1:8" x14ac:dyDescent="0.2">
      <c r="A13" s="32">
        <v>9</v>
      </c>
      <c r="B13" s="33" t="s">
        <v>124</v>
      </c>
      <c r="C13" s="33">
        <v>2021</v>
      </c>
      <c r="D13" s="229">
        <f>'Sumář všech příspěvků rok 2023'!H37</f>
        <v>266</v>
      </c>
      <c r="E13" s="343">
        <f t="shared" si="1"/>
        <v>11</v>
      </c>
      <c r="F13" s="45">
        <f t="shared" si="0"/>
        <v>2926</v>
      </c>
      <c r="H13" s="55"/>
    </row>
    <row r="14" spans="1:8" x14ac:dyDescent="0.2">
      <c r="A14" s="7">
        <v>10</v>
      </c>
      <c r="B14" s="9" t="s">
        <v>125</v>
      </c>
      <c r="C14" s="9">
        <v>2023</v>
      </c>
      <c r="D14" s="230">
        <f>'Sumář všech příspěvků rok 2023'!H38</f>
        <v>227</v>
      </c>
      <c r="E14" s="344">
        <f t="shared" si="1"/>
        <v>11</v>
      </c>
      <c r="F14" s="28">
        <f t="shared" si="0"/>
        <v>2497</v>
      </c>
      <c r="H14" s="55"/>
    </row>
    <row r="15" spans="1:8" x14ac:dyDescent="0.2">
      <c r="A15" s="32">
        <v>11</v>
      </c>
      <c r="B15" s="33" t="s">
        <v>126</v>
      </c>
      <c r="C15" s="33">
        <v>2027</v>
      </c>
      <c r="D15" s="229">
        <f>'Sumář všech příspěvků rok 2023'!H39</f>
        <v>644</v>
      </c>
      <c r="E15" s="343">
        <f t="shared" si="1"/>
        <v>11</v>
      </c>
      <c r="F15" s="45">
        <f t="shared" si="0"/>
        <v>7084</v>
      </c>
      <c r="H15" s="55"/>
    </row>
    <row r="16" spans="1:8" x14ac:dyDescent="0.2">
      <c r="A16" s="7">
        <v>12</v>
      </c>
      <c r="B16" s="9" t="s">
        <v>127</v>
      </c>
      <c r="C16" s="9">
        <v>2029</v>
      </c>
      <c r="D16" s="230">
        <f>'Sumář všech příspěvků rok 2023'!H40</f>
        <v>482</v>
      </c>
      <c r="E16" s="344">
        <f t="shared" si="1"/>
        <v>11</v>
      </c>
      <c r="F16" s="28">
        <f t="shared" si="0"/>
        <v>5302</v>
      </c>
      <c r="H16" s="55"/>
    </row>
    <row r="17" spans="1:8" x14ac:dyDescent="0.2">
      <c r="A17" s="32">
        <v>13</v>
      </c>
      <c r="B17" s="33" t="s">
        <v>128</v>
      </c>
      <c r="C17" s="33">
        <v>2032</v>
      </c>
      <c r="D17" s="229">
        <f>'Sumář všech příspěvků rok 2023'!H41</f>
        <v>360</v>
      </c>
      <c r="E17" s="343">
        <f t="shared" si="1"/>
        <v>11</v>
      </c>
      <c r="F17" s="45">
        <f t="shared" si="0"/>
        <v>3960</v>
      </c>
      <c r="H17" s="55"/>
    </row>
    <row r="18" spans="1:8" x14ac:dyDescent="0.2">
      <c r="A18" s="7">
        <v>14</v>
      </c>
      <c r="B18" s="9" t="s">
        <v>129</v>
      </c>
      <c r="C18" s="9">
        <v>2033</v>
      </c>
      <c r="D18" s="230">
        <f>'Sumář všech příspěvků rok 2023'!H42</f>
        <v>446</v>
      </c>
      <c r="E18" s="344">
        <f t="shared" si="1"/>
        <v>11</v>
      </c>
      <c r="F18" s="28">
        <f t="shared" si="0"/>
        <v>4906</v>
      </c>
      <c r="H18" s="55"/>
    </row>
    <row r="19" spans="1:8" x14ac:dyDescent="0.2">
      <c r="A19" s="32">
        <v>15</v>
      </c>
      <c r="B19" s="58" t="s">
        <v>130</v>
      </c>
      <c r="C19" s="58">
        <v>2008</v>
      </c>
      <c r="D19" s="231">
        <f>'Sumář všech příspěvků rok 2023'!H43</f>
        <v>3649</v>
      </c>
      <c r="E19" s="343">
        <f t="shared" si="1"/>
        <v>11</v>
      </c>
      <c r="F19" s="45">
        <f t="shared" si="0"/>
        <v>40139</v>
      </c>
      <c r="H19" s="55"/>
    </row>
    <row r="20" spans="1:8" x14ac:dyDescent="0.2">
      <c r="A20" s="7">
        <v>16</v>
      </c>
      <c r="B20" s="9" t="s">
        <v>131</v>
      </c>
      <c r="C20" s="9">
        <v>2041</v>
      </c>
      <c r="D20" s="230">
        <f>'Sumář všech příspěvků rok 2023'!H44</f>
        <v>286</v>
      </c>
      <c r="E20" s="344">
        <f t="shared" si="1"/>
        <v>11</v>
      </c>
      <c r="F20" s="28">
        <f t="shared" si="0"/>
        <v>3146</v>
      </c>
      <c r="H20" s="55"/>
    </row>
    <row r="21" spans="1:8" x14ac:dyDescent="0.2">
      <c r="A21" s="32">
        <v>17</v>
      </c>
      <c r="B21" s="33" t="s">
        <v>137</v>
      </c>
      <c r="C21" s="33">
        <v>2009</v>
      </c>
      <c r="D21" s="229">
        <f>'Sumář všech příspěvků rok 2023'!H45</f>
        <v>2836</v>
      </c>
      <c r="E21" s="343">
        <f t="shared" si="1"/>
        <v>11</v>
      </c>
      <c r="F21" s="45">
        <f t="shared" si="0"/>
        <v>31196</v>
      </c>
      <c r="H21" s="55"/>
    </row>
    <row r="22" spans="1:8" ht="13.5" thickBot="1" x14ac:dyDescent="0.25">
      <c r="A22" s="19">
        <v>18</v>
      </c>
      <c r="B22" s="9" t="s">
        <v>133</v>
      </c>
      <c r="C22" s="77">
        <v>2053</v>
      </c>
      <c r="D22" s="232">
        <f>'Sumář všech příspěvků rok 2023'!H46</f>
        <v>1323</v>
      </c>
      <c r="E22" s="344">
        <f t="shared" si="1"/>
        <v>11</v>
      </c>
      <c r="F22" s="28">
        <f t="shared" si="0"/>
        <v>14553</v>
      </c>
      <c r="H22" s="55"/>
    </row>
    <row r="23" spans="1:8" ht="13.5" thickBot="1" x14ac:dyDescent="0.25">
      <c r="A23" s="20"/>
      <c r="B23" s="21"/>
      <c r="C23" s="21"/>
      <c r="D23" s="22">
        <f>SUM(D5:D22)</f>
        <v>24177</v>
      </c>
      <c r="E23" s="21"/>
      <c r="F23" s="50">
        <f>SUM(F5:F22)</f>
        <v>265947</v>
      </c>
      <c r="H23" s="54"/>
    </row>
    <row r="25" spans="1:8" x14ac:dyDescent="0.2">
      <c r="A25" s="283"/>
    </row>
    <row r="26" spans="1:8" ht="27" customHeight="1" x14ac:dyDescent="0.2">
      <c r="A26" s="345"/>
      <c r="B26" s="196"/>
      <c r="C26" s="196"/>
      <c r="D26" s="196"/>
      <c r="E26" s="196"/>
      <c r="F26" s="196"/>
      <c r="G26" s="196"/>
    </row>
    <row r="27" spans="1:8" ht="14.25" x14ac:dyDescent="0.2">
      <c r="A27" s="251" t="s">
        <v>143</v>
      </c>
      <c r="B27" s="201"/>
      <c r="C27" s="201"/>
      <c r="D27" s="201"/>
      <c r="E27" s="5"/>
      <c r="F27" s="5"/>
      <c r="G27" s="5"/>
    </row>
    <row r="28" spans="1:8" ht="14.25" x14ac:dyDescent="0.2">
      <c r="A28" s="201">
        <v>44844</v>
      </c>
      <c r="B28" s="201"/>
      <c r="C28" s="201"/>
      <c r="D28" s="201"/>
      <c r="E28" s="201"/>
      <c r="F28" s="201"/>
      <c r="G28" s="201"/>
    </row>
    <row r="30" spans="1:8" x14ac:dyDescent="0.2">
      <c r="A30" s="118"/>
      <c r="F30"/>
    </row>
    <row r="31" spans="1:8" x14ac:dyDescent="0.2">
      <c r="A31" s="118"/>
      <c r="F31"/>
    </row>
    <row r="32" spans="1:8" x14ac:dyDescent="0.2">
      <c r="F32"/>
    </row>
    <row r="33" spans="6:6" x14ac:dyDescent="0.2">
      <c r="F33"/>
    </row>
    <row r="34" spans="6:6" x14ac:dyDescent="0.2">
      <c r="F34"/>
    </row>
    <row r="35" spans="6:6" x14ac:dyDescent="0.2">
      <c r="F35"/>
    </row>
    <row r="36" spans="6:6" x14ac:dyDescent="0.2">
      <c r="F36"/>
    </row>
    <row r="37" spans="6:6" x14ac:dyDescent="0.2">
      <c r="F37"/>
    </row>
    <row r="38" spans="6:6" x14ac:dyDescent="0.2">
      <c r="F38"/>
    </row>
    <row r="39" spans="6:6" x14ac:dyDescent="0.2">
      <c r="F39"/>
    </row>
    <row r="40" spans="6:6" x14ac:dyDescent="0.2">
      <c r="F40"/>
    </row>
    <row r="41" spans="6:6" x14ac:dyDescent="0.2">
      <c r="F41"/>
    </row>
    <row r="42" spans="6:6" x14ac:dyDescent="0.2">
      <c r="F42"/>
    </row>
    <row r="43" spans="6:6" x14ac:dyDescent="0.2">
      <c r="F43"/>
    </row>
    <row r="44" spans="6:6" x14ac:dyDescent="0.2">
      <c r="F44"/>
    </row>
    <row r="45" spans="6:6" x14ac:dyDescent="0.2">
      <c r="F45"/>
    </row>
    <row r="46" spans="6:6" x14ac:dyDescent="0.2">
      <c r="F46"/>
    </row>
    <row r="47" spans="6:6" x14ac:dyDescent="0.2">
      <c r="F47"/>
    </row>
    <row r="48" spans="6:6" x14ac:dyDescent="0.2">
      <c r="F48"/>
    </row>
    <row r="49" spans="6:6" x14ac:dyDescent="0.2">
      <c r="F49"/>
    </row>
    <row r="50" spans="6:6" x14ac:dyDescent="0.2">
      <c r="F50"/>
    </row>
    <row r="51" spans="6:6" x14ac:dyDescent="0.2">
      <c r="F51"/>
    </row>
    <row r="52" spans="6:6" x14ac:dyDescent="0.2">
      <c r="F52"/>
    </row>
    <row r="53" spans="6:6" x14ac:dyDescent="0.2">
      <c r="F53"/>
    </row>
  </sheetData>
  <mergeCells count="1">
    <mergeCell ref="A1:F1"/>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O30"/>
  <sheetViews>
    <sheetView workbookViewId="0">
      <selection activeCell="A4" sqref="A4:F4"/>
    </sheetView>
  </sheetViews>
  <sheetFormatPr defaultRowHeight="12.75" x14ac:dyDescent="0.2"/>
  <cols>
    <col min="1" max="1" width="6" customWidth="1"/>
    <col min="2" max="2" width="24.5703125" customWidth="1"/>
    <col min="3" max="3" width="15.28515625" customWidth="1"/>
    <col min="4" max="5" width="13.28515625" bestFit="1" customWidth="1"/>
    <col min="6" max="6" width="14.42578125" customWidth="1"/>
    <col min="7" max="7" width="6.42578125" customWidth="1"/>
    <col min="8" max="8" width="7" style="1" customWidth="1"/>
    <col min="9" max="9" width="15.5703125" customWidth="1"/>
    <col min="10" max="10" width="13.28515625" bestFit="1" customWidth="1"/>
    <col min="11" max="11" width="8.5703125" bestFit="1" customWidth="1"/>
    <col min="12" max="12" width="16.42578125" customWidth="1"/>
    <col min="13" max="13" width="14.42578125" customWidth="1"/>
    <col min="14" max="14" width="2.5703125" customWidth="1"/>
    <col min="15" max="15" width="16.140625" bestFit="1" customWidth="1"/>
    <col min="16" max="16" width="9.5703125" bestFit="1" customWidth="1"/>
    <col min="17" max="17" width="14.28515625" bestFit="1" customWidth="1"/>
  </cols>
  <sheetData>
    <row r="1" spans="1:15" ht="15.75" x14ac:dyDescent="0.25">
      <c r="B1" s="65" t="s">
        <v>144</v>
      </c>
    </row>
    <row r="3" spans="1:15" x14ac:dyDescent="0.2">
      <c r="A3" s="5" t="s">
        <v>145</v>
      </c>
      <c r="F3" s="283" t="s">
        <v>146</v>
      </c>
    </row>
    <row r="4" spans="1:15" ht="33.75" customHeight="1" x14ac:dyDescent="0.2">
      <c r="A4" s="447" t="s">
        <v>147</v>
      </c>
      <c r="B4" s="448"/>
      <c r="C4" s="448"/>
      <c r="D4" s="448"/>
      <c r="E4" s="448"/>
      <c r="F4" s="448"/>
      <c r="H4" s="447" t="s">
        <v>148</v>
      </c>
      <c r="I4" s="448"/>
      <c r="J4" s="448"/>
      <c r="K4" s="448"/>
      <c r="L4" s="448"/>
      <c r="M4" s="448"/>
    </row>
    <row r="5" spans="1:15" ht="6.75" customHeight="1" thickBot="1" x14ac:dyDescent="0.25">
      <c r="H5"/>
    </row>
    <row r="6" spans="1:15" ht="76.5" x14ac:dyDescent="0.2">
      <c r="A6" s="24"/>
      <c r="B6" s="25" t="s">
        <v>106</v>
      </c>
      <c r="C6" s="74" t="s">
        <v>149</v>
      </c>
      <c r="D6" s="346" t="s">
        <v>150</v>
      </c>
      <c r="E6" s="347" t="s">
        <v>151</v>
      </c>
      <c r="F6" s="79" t="s">
        <v>152</v>
      </c>
      <c r="H6" s="24"/>
      <c r="I6" s="25" t="s">
        <v>106</v>
      </c>
      <c r="J6" s="74" t="s">
        <v>149</v>
      </c>
      <c r="K6" s="346" t="s">
        <v>153</v>
      </c>
      <c r="L6" s="348" t="s">
        <v>154</v>
      </c>
      <c r="M6" s="79" t="s">
        <v>152</v>
      </c>
      <c r="O6" s="97" t="s">
        <v>155</v>
      </c>
    </row>
    <row r="7" spans="1:15" ht="6.75" customHeight="1" x14ac:dyDescent="0.2">
      <c r="A7" s="80"/>
      <c r="B7" s="47"/>
      <c r="C7" s="47"/>
      <c r="D7" s="349"/>
      <c r="E7" s="350"/>
      <c r="F7" s="48"/>
      <c r="H7" s="80"/>
      <c r="I7" s="47"/>
      <c r="J7" s="47"/>
      <c r="K7" s="349"/>
      <c r="L7" s="350"/>
      <c r="M7" s="48"/>
      <c r="O7" s="96"/>
    </row>
    <row r="8" spans="1:15" x14ac:dyDescent="0.2">
      <c r="A8" s="32">
        <v>1</v>
      </c>
      <c r="B8" s="49" t="s">
        <v>116</v>
      </c>
      <c r="C8" s="94">
        <v>688</v>
      </c>
      <c r="D8" s="351">
        <v>2</v>
      </c>
      <c r="E8" s="352">
        <v>0.5</v>
      </c>
      <c r="F8" s="81">
        <f>SUM(C8*(D8+E8))</f>
        <v>1720</v>
      </c>
      <c r="H8" s="32">
        <v>1</v>
      </c>
      <c r="I8" s="49" t="s">
        <v>116</v>
      </c>
      <c r="J8" s="94">
        <v>688</v>
      </c>
      <c r="K8" s="351">
        <v>2</v>
      </c>
      <c r="L8" s="352">
        <v>0</v>
      </c>
      <c r="M8" s="81">
        <f>SUM(J8*K8)</f>
        <v>1376</v>
      </c>
      <c r="O8" s="98">
        <f>SUM(F8+M8)</f>
        <v>3096</v>
      </c>
    </row>
    <row r="9" spans="1:15" x14ac:dyDescent="0.2">
      <c r="A9" s="7">
        <v>2</v>
      </c>
      <c r="B9" s="18" t="s">
        <v>117</v>
      </c>
      <c r="C9" s="87">
        <v>890</v>
      </c>
      <c r="D9" s="344">
        <v>2</v>
      </c>
      <c r="E9" s="353">
        <v>0.5</v>
      </c>
      <c r="F9" s="28">
        <f t="shared" ref="F9:F25" si="0">SUM(C9*(D9+E9))</f>
        <v>2225</v>
      </c>
      <c r="H9" s="7">
        <v>2</v>
      </c>
      <c r="I9" s="18" t="s">
        <v>117</v>
      </c>
      <c r="J9" s="87">
        <v>890</v>
      </c>
      <c r="K9" s="344">
        <v>2</v>
      </c>
      <c r="L9" s="353"/>
      <c r="M9" s="28">
        <f t="shared" ref="M9:M25" si="1">SUM(J9*K9)</f>
        <v>1780</v>
      </c>
      <c r="O9" s="99">
        <f>SUM(F9+M9)</f>
        <v>4005</v>
      </c>
    </row>
    <row r="10" spans="1:15" x14ac:dyDescent="0.2">
      <c r="A10" s="32">
        <v>3</v>
      </c>
      <c r="B10" s="49" t="s">
        <v>118</v>
      </c>
      <c r="C10" s="88">
        <v>332</v>
      </c>
      <c r="D10" s="351">
        <v>2</v>
      </c>
      <c r="E10" s="352">
        <v>0.5</v>
      </c>
      <c r="F10" s="81">
        <f t="shared" si="0"/>
        <v>830</v>
      </c>
      <c r="H10" s="32">
        <v>3</v>
      </c>
      <c r="I10" s="49" t="s">
        <v>118</v>
      </c>
      <c r="J10" s="88">
        <v>332</v>
      </c>
      <c r="K10" s="351">
        <v>2</v>
      </c>
      <c r="L10" s="352"/>
      <c r="M10" s="81">
        <f t="shared" si="1"/>
        <v>664</v>
      </c>
      <c r="O10" s="98">
        <f>SUM(F10+M10)</f>
        <v>1494</v>
      </c>
    </row>
    <row r="11" spans="1:15" ht="13.5" customHeight="1" x14ac:dyDescent="0.2">
      <c r="A11" s="7">
        <v>4</v>
      </c>
      <c r="B11" s="9" t="s">
        <v>119</v>
      </c>
      <c r="C11" s="87">
        <v>693</v>
      </c>
      <c r="D11" s="344">
        <v>2</v>
      </c>
      <c r="E11" s="353">
        <v>0.5</v>
      </c>
      <c r="F11" s="28">
        <f t="shared" si="0"/>
        <v>1732.5</v>
      </c>
      <c r="H11" s="7">
        <v>4</v>
      </c>
      <c r="I11" s="9" t="s">
        <v>119</v>
      </c>
      <c r="J11" s="87">
        <v>693</v>
      </c>
      <c r="K11" s="344">
        <v>2</v>
      </c>
      <c r="L11" s="353"/>
      <c r="M11" s="28">
        <f t="shared" si="1"/>
        <v>1386</v>
      </c>
      <c r="O11" s="99">
        <f>SUM(F11+M11)</f>
        <v>3118.5</v>
      </c>
    </row>
    <row r="12" spans="1:15" x14ac:dyDescent="0.2">
      <c r="A12" s="32">
        <v>5</v>
      </c>
      <c r="B12" s="49" t="s">
        <v>120</v>
      </c>
      <c r="C12" s="88">
        <v>536</v>
      </c>
      <c r="D12" s="351">
        <v>2</v>
      </c>
      <c r="E12" s="352">
        <v>0.5</v>
      </c>
      <c r="F12" s="81">
        <f t="shared" si="0"/>
        <v>1340</v>
      </c>
      <c r="H12" s="32">
        <v>5</v>
      </c>
      <c r="I12" s="49" t="s">
        <v>120</v>
      </c>
      <c r="J12" s="88">
        <v>536</v>
      </c>
      <c r="K12" s="351">
        <v>2</v>
      </c>
      <c r="L12" s="352"/>
      <c r="M12" s="81">
        <f t="shared" si="1"/>
        <v>1072</v>
      </c>
      <c r="O12" s="98">
        <f t="shared" ref="O12:O25" si="2">SUM(F12+M12)</f>
        <v>2412</v>
      </c>
    </row>
    <row r="13" spans="1:15" x14ac:dyDescent="0.2">
      <c r="A13" s="7">
        <v>6</v>
      </c>
      <c r="B13" s="18" t="s">
        <v>121</v>
      </c>
      <c r="C13" s="87">
        <v>7423</v>
      </c>
      <c r="D13" s="344">
        <v>5.5</v>
      </c>
      <c r="E13" s="353">
        <v>0.5</v>
      </c>
      <c r="F13" s="28">
        <f t="shared" si="0"/>
        <v>44538</v>
      </c>
      <c r="H13" s="7">
        <v>6</v>
      </c>
      <c r="I13" s="18" t="s">
        <v>121</v>
      </c>
      <c r="J13" s="87">
        <v>7423</v>
      </c>
      <c r="K13" s="344">
        <v>6</v>
      </c>
      <c r="L13" s="353"/>
      <c r="M13" s="28">
        <f t="shared" si="1"/>
        <v>44538</v>
      </c>
      <c r="O13" s="99">
        <f t="shared" si="2"/>
        <v>89076</v>
      </c>
    </row>
    <row r="14" spans="1:15" x14ac:dyDescent="0.2">
      <c r="A14" s="32">
        <v>7</v>
      </c>
      <c r="B14" s="49" t="s">
        <v>122</v>
      </c>
      <c r="C14" s="88">
        <v>471</v>
      </c>
      <c r="D14" s="351">
        <v>2</v>
      </c>
      <c r="E14" s="352">
        <v>0.5</v>
      </c>
      <c r="F14" s="81">
        <f t="shared" si="0"/>
        <v>1177.5</v>
      </c>
      <c r="H14" s="32">
        <v>7</v>
      </c>
      <c r="I14" s="49" t="s">
        <v>122</v>
      </c>
      <c r="J14" s="88">
        <v>471</v>
      </c>
      <c r="K14" s="351">
        <v>2</v>
      </c>
      <c r="L14" s="352"/>
      <c r="M14" s="81">
        <f t="shared" si="1"/>
        <v>942</v>
      </c>
      <c r="O14" s="98">
        <f t="shared" si="2"/>
        <v>2119.5</v>
      </c>
    </row>
    <row r="15" spans="1:15" x14ac:dyDescent="0.2">
      <c r="A15" s="7">
        <v>8</v>
      </c>
      <c r="B15" s="18" t="s">
        <v>123</v>
      </c>
      <c r="C15" s="87">
        <v>2712</v>
      </c>
      <c r="D15" s="344">
        <v>3</v>
      </c>
      <c r="E15" s="353">
        <v>0.5</v>
      </c>
      <c r="F15" s="28">
        <f t="shared" si="0"/>
        <v>9492</v>
      </c>
      <c r="H15" s="7">
        <v>8</v>
      </c>
      <c r="I15" s="18" t="s">
        <v>123</v>
      </c>
      <c r="J15" s="87">
        <v>2712</v>
      </c>
      <c r="K15" s="344">
        <v>3</v>
      </c>
      <c r="L15" s="353"/>
      <c r="M15" s="28">
        <f t="shared" si="1"/>
        <v>8136</v>
      </c>
      <c r="O15" s="99">
        <f t="shared" si="2"/>
        <v>17628</v>
      </c>
    </row>
    <row r="16" spans="1:15" x14ac:dyDescent="0.2">
      <c r="A16" s="32">
        <v>9</v>
      </c>
      <c r="B16" s="49" t="s">
        <v>124</v>
      </c>
      <c r="C16" s="88">
        <v>269</v>
      </c>
      <c r="D16" s="351">
        <v>2</v>
      </c>
      <c r="E16" s="352">
        <v>0.5</v>
      </c>
      <c r="F16" s="81">
        <f t="shared" si="0"/>
        <v>672.5</v>
      </c>
      <c r="H16" s="32">
        <v>9</v>
      </c>
      <c r="I16" s="49" t="s">
        <v>124</v>
      </c>
      <c r="J16" s="88">
        <v>269</v>
      </c>
      <c r="K16" s="351">
        <v>2</v>
      </c>
      <c r="L16" s="352"/>
      <c r="M16" s="81">
        <f t="shared" si="1"/>
        <v>538</v>
      </c>
      <c r="O16" s="98">
        <f t="shared" si="2"/>
        <v>1210.5</v>
      </c>
    </row>
    <row r="17" spans="1:15" x14ac:dyDescent="0.2">
      <c r="A17" s="7">
        <v>10</v>
      </c>
      <c r="B17" s="18" t="s">
        <v>125</v>
      </c>
      <c r="C17" s="87">
        <v>219</v>
      </c>
      <c r="D17" s="344">
        <v>2</v>
      </c>
      <c r="E17" s="353">
        <v>0.5</v>
      </c>
      <c r="F17" s="28">
        <f t="shared" si="0"/>
        <v>547.5</v>
      </c>
      <c r="H17" s="7">
        <v>10</v>
      </c>
      <c r="I17" s="18" t="s">
        <v>125</v>
      </c>
      <c r="J17" s="87">
        <v>219</v>
      </c>
      <c r="K17" s="344">
        <v>2</v>
      </c>
      <c r="L17" s="353"/>
      <c r="M17" s="28">
        <f t="shared" si="1"/>
        <v>438</v>
      </c>
      <c r="O17" s="99">
        <f t="shared" si="2"/>
        <v>985.5</v>
      </c>
    </row>
    <row r="18" spans="1:15" x14ac:dyDescent="0.2">
      <c r="A18" s="32">
        <v>11</v>
      </c>
      <c r="B18" s="49" t="s">
        <v>126</v>
      </c>
      <c r="C18" s="88">
        <v>663</v>
      </c>
      <c r="D18" s="351">
        <v>2</v>
      </c>
      <c r="E18" s="352">
        <v>0.5</v>
      </c>
      <c r="F18" s="81">
        <f t="shared" si="0"/>
        <v>1657.5</v>
      </c>
      <c r="H18" s="32">
        <v>11</v>
      </c>
      <c r="I18" s="49" t="s">
        <v>126</v>
      </c>
      <c r="J18" s="88">
        <v>663</v>
      </c>
      <c r="K18" s="351">
        <v>2</v>
      </c>
      <c r="L18" s="352"/>
      <c r="M18" s="81">
        <f t="shared" si="1"/>
        <v>1326</v>
      </c>
      <c r="O18" s="100">
        <f t="shared" si="2"/>
        <v>2983.5</v>
      </c>
    </row>
    <row r="19" spans="1:15" x14ac:dyDescent="0.2">
      <c r="A19" s="7">
        <v>12</v>
      </c>
      <c r="B19" s="18" t="s">
        <v>127</v>
      </c>
      <c r="C19" s="87">
        <v>472</v>
      </c>
      <c r="D19" s="344">
        <v>2</v>
      </c>
      <c r="E19" s="353">
        <v>0.5</v>
      </c>
      <c r="F19" s="28">
        <f t="shared" si="0"/>
        <v>1180</v>
      </c>
      <c r="H19" s="7">
        <v>12</v>
      </c>
      <c r="I19" s="18" t="s">
        <v>127</v>
      </c>
      <c r="J19" s="87">
        <v>472</v>
      </c>
      <c r="K19" s="344">
        <v>2</v>
      </c>
      <c r="L19" s="353"/>
      <c r="M19" s="28">
        <f t="shared" si="1"/>
        <v>944</v>
      </c>
      <c r="O19" s="99">
        <f t="shared" si="2"/>
        <v>2124</v>
      </c>
    </row>
    <row r="20" spans="1:15" x14ac:dyDescent="0.2">
      <c r="A20" s="32">
        <v>13</v>
      </c>
      <c r="B20" s="49" t="s">
        <v>128</v>
      </c>
      <c r="C20" s="88">
        <v>371</v>
      </c>
      <c r="D20" s="351">
        <v>2</v>
      </c>
      <c r="E20" s="352">
        <v>0.5</v>
      </c>
      <c r="F20" s="81">
        <f t="shared" si="0"/>
        <v>927.5</v>
      </c>
      <c r="H20" s="32">
        <v>13</v>
      </c>
      <c r="I20" s="49" t="s">
        <v>128</v>
      </c>
      <c r="J20" s="88">
        <v>371</v>
      </c>
      <c r="K20" s="351">
        <v>2</v>
      </c>
      <c r="L20" s="352"/>
      <c r="M20" s="81">
        <f t="shared" si="1"/>
        <v>742</v>
      </c>
      <c r="O20" s="100">
        <f t="shared" si="2"/>
        <v>1669.5</v>
      </c>
    </row>
    <row r="21" spans="1:15" x14ac:dyDescent="0.2">
      <c r="A21" s="7">
        <v>14</v>
      </c>
      <c r="B21" s="9" t="s">
        <v>129</v>
      </c>
      <c r="C21" s="87">
        <v>482</v>
      </c>
      <c r="D21" s="344">
        <v>2</v>
      </c>
      <c r="E21" s="353">
        <v>0.5</v>
      </c>
      <c r="F21" s="28">
        <f t="shared" si="0"/>
        <v>1205</v>
      </c>
      <c r="H21" s="7">
        <v>14</v>
      </c>
      <c r="I21" s="9" t="s">
        <v>129</v>
      </c>
      <c r="J21" s="87">
        <v>482</v>
      </c>
      <c r="K21" s="344">
        <v>2</v>
      </c>
      <c r="L21" s="353"/>
      <c r="M21" s="28">
        <f t="shared" si="1"/>
        <v>964</v>
      </c>
      <c r="O21" s="99">
        <f t="shared" si="2"/>
        <v>2169</v>
      </c>
    </row>
    <row r="22" spans="1:15" x14ac:dyDescent="0.2">
      <c r="A22" s="32">
        <v>15</v>
      </c>
      <c r="B22" s="78" t="s">
        <v>130</v>
      </c>
      <c r="C22" s="90">
        <v>3672</v>
      </c>
      <c r="D22" s="351">
        <v>3</v>
      </c>
      <c r="E22" s="352">
        <v>0.5</v>
      </c>
      <c r="F22" s="81">
        <f t="shared" si="0"/>
        <v>12852</v>
      </c>
      <c r="H22" s="32">
        <v>15</v>
      </c>
      <c r="I22" s="78" t="s">
        <v>130</v>
      </c>
      <c r="J22" s="90">
        <v>3672</v>
      </c>
      <c r="K22" s="351">
        <v>3</v>
      </c>
      <c r="L22" s="352"/>
      <c r="M22" s="81">
        <f t="shared" si="1"/>
        <v>11016</v>
      </c>
      <c r="O22" s="100">
        <f t="shared" si="2"/>
        <v>23868</v>
      </c>
    </row>
    <row r="23" spans="1:15" x14ac:dyDescent="0.2">
      <c r="A23" s="7">
        <v>16</v>
      </c>
      <c r="B23" s="9" t="s">
        <v>131</v>
      </c>
      <c r="C23" s="87">
        <v>280</v>
      </c>
      <c r="D23" s="344">
        <v>2</v>
      </c>
      <c r="E23" s="353">
        <v>0.5</v>
      </c>
      <c r="F23" s="28">
        <f t="shared" si="0"/>
        <v>700</v>
      </c>
      <c r="H23" s="7">
        <v>16</v>
      </c>
      <c r="I23" s="9" t="s">
        <v>131</v>
      </c>
      <c r="J23" s="87">
        <v>280</v>
      </c>
      <c r="K23" s="344">
        <v>2</v>
      </c>
      <c r="L23" s="353"/>
      <c r="M23" s="28">
        <f t="shared" si="1"/>
        <v>560</v>
      </c>
      <c r="O23" s="99">
        <f t="shared" si="2"/>
        <v>1260</v>
      </c>
    </row>
    <row r="24" spans="1:15" x14ac:dyDescent="0.2">
      <c r="A24" s="32">
        <v>17</v>
      </c>
      <c r="B24" s="49" t="s">
        <v>137</v>
      </c>
      <c r="C24" s="88">
        <v>2834</v>
      </c>
      <c r="D24" s="351">
        <v>3</v>
      </c>
      <c r="E24" s="352">
        <v>0.5</v>
      </c>
      <c r="F24" s="81">
        <f t="shared" si="0"/>
        <v>9919</v>
      </c>
      <c r="H24" s="32">
        <v>17</v>
      </c>
      <c r="I24" s="49" t="s">
        <v>137</v>
      </c>
      <c r="J24" s="88">
        <v>2834</v>
      </c>
      <c r="K24" s="351">
        <v>3</v>
      </c>
      <c r="L24" s="352"/>
      <c r="M24" s="81">
        <f t="shared" si="1"/>
        <v>8502</v>
      </c>
      <c r="O24" s="100">
        <f t="shared" si="2"/>
        <v>18421</v>
      </c>
    </row>
    <row r="25" spans="1:15" ht="13.5" thickBot="1" x14ac:dyDescent="0.25">
      <c r="A25" s="19">
        <v>18</v>
      </c>
      <c r="B25" s="18" t="s">
        <v>133</v>
      </c>
      <c r="C25" s="92">
        <v>1333</v>
      </c>
      <c r="D25" s="354">
        <v>2</v>
      </c>
      <c r="E25" s="353">
        <v>0.5</v>
      </c>
      <c r="F25" s="28">
        <f t="shared" si="0"/>
        <v>3332.5</v>
      </c>
      <c r="H25" s="19">
        <v>18</v>
      </c>
      <c r="I25" s="18" t="s">
        <v>133</v>
      </c>
      <c r="J25" s="92">
        <v>1333</v>
      </c>
      <c r="K25" s="354">
        <v>2</v>
      </c>
      <c r="L25" s="355"/>
      <c r="M25" s="28">
        <f t="shared" si="1"/>
        <v>2666</v>
      </c>
      <c r="O25" s="99">
        <f t="shared" si="2"/>
        <v>5998.5</v>
      </c>
    </row>
    <row r="26" spans="1:15" ht="15.75" thickBot="1" x14ac:dyDescent="0.3">
      <c r="A26" s="20"/>
      <c r="B26" s="21"/>
      <c r="C26" s="41">
        <f>SUM(C8:C25)</f>
        <v>24340</v>
      </c>
      <c r="D26" s="356"/>
      <c r="E26" s="357"/>
      <c r="F26" s="50">
        <f>SUM(F8:F25)</f>
        <v>96048.5</v>
      </c>
      <c r="H26" s="20"/>
      <c r="I26" s="21"/>
      <c r="J26" s="41">
        <f>SUM(J8:J25)</f>
        <v>24340</v>
      </c>
      <c r="K26" s="356"/>
      <c r="L26" s="357"/>
      <c r="M26" s="50">
        <f>SUM(M8:M25)</f>
        <v>87590</v>
      </c>
      <c r="O26" s="101">
        <f>SUM(O8:O25)</f>
        <v>183638.5</v>
      </c>
    </row>
    <row r="27" spans="1:15" ht="27" customHeight="1" x14ac:dyDescent="0.2">
      <c r="H27"/>
      <c r="O27" s="6">
        <f>SUM(F26+M26)</f>
        <v>183638.5</v>
      </c>
    </row>
    <row r="28" spans="1:15" ht="39" customHeight="1" x14ac:dyDescent="0.2">
      <c r="A28" s="449" t="s">
        <v>156</v>
      </c>
      <c r="B28" s="449"/>
      <c r="C28" s="449"/>
      <c r="D28" s="449"/>
      <c r="E28" s="449"/>
      <c r="F28" s="449"/>
      <c r="H28" s="449" t="s">
        <v>157</v>
      </c>
      <c r="I28" s="449"/>
      <c r="J28" s="449"/>
      <c r="K28" s="449"/>
      <c r="L28" s="449"/>
      <c r="M28" s="449"/>
    </row>
    <row r="29" spans="1:15" x14ac:dyDescent="0.2">
      <c r="A29" s="8"/>
      <c r="H29" s="8"/>
    </row>
    <row r="30" spans="1:15" x14ac:dyDescent="0.2">
      <c r="A30" s="358" t="s">
        <v>158</v>
      </c>
    </row>
  </sheetData>
  <mergeCells count="4">
    <mergeCell ref="A4:F4"/>
    <mergeCell ref="A28:F28"/>
    <mergeCell ref="H4:M4"/>
    <mergeCell ref="H28:M28"/>
  </mergeCells>
  <pageMargins left="0.25" right="0.25" top="0.75" bottom="0.75" header="0.3" footer="0.3"/>
  <pageSetup paperSize="9"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1"/>
  <sheetViews>
    <sheetView tabSelected="1" workbookViewId="0">
      <selection activeCell="N26" sqref="N26"/>
    </sheetView>
  </sheetViews>
  <sheetFormatPr defaultRowHeight="12.75" x14ac:dyDescent="0.2"/>
  <cols>
    <col min="1" max="1" width="34.42578125" customWidth="1"/>
    <col min="2" max="2" width="9.85546875" style="192" customWidth="1"/>
    <col min="3" max="3" width="9.28515625" hidden="1" customWidth="1"/>
    <col min="4" max="4" width="7.5703125" hidden="1" customWidth="1"/>
    <col min="5" max="5" width="10" hidden="1" customWidth="1"/>
    <col min="6" max="6" width="11.42578125" style="219" hidden="1" customWidth="1"/>
    <col min="7" max="7" width="15.85546875" customWidth="1"/>
    <col min="8" max="8" width="14.28515625" style="1" bestFit="1" customWidth="1"/>
    <col min="9" max="9" width="11.5703125" style="1" customWidth="1"/>
    <col min="10" max="12" width="14.28515625" style="1" customWidth="1"/>
    <col min="13" max="13" width="15.140625" style="1" customWidth="1"/>
    <col min="14" max="14" width="23" style="1" bestFit="1" customWidth="1"/>
    <col min="15" max="15" width="16.5703125" customWidth="1"/>
    <col min="18" max="18" width="10.5703125" bestFit="1" customWidth="1"/>
    <col min="19" max="19" width="14.28515625" bestFit="1" customWidth="1"/>
    <col min="20" max="20" width="9.5703125" bestFit="1" customWidth="1"/>
    <col min="21" max="21" width="14.28515625" bestFit="1" customWidth="1"/>
  </cols>
  <sheetData>
    <row r="1" spans="1:19" x14ac:dyDescent="0.2">
      <c r="A1" s="5" t="s">
        <v>159</v>
      </c>
      <c r="M1"/>
    </row>
    <row r="2" spans="1:19" ht="13.5" thickBot="1" x14ac:dyDescent="0.25">
      <c r="G2" s="283" t="s">
        <v>146</v>
      </c>
      <c r="M2"/>
    </row>
    <row r="3" spans="1:19" ht="86.25" customHeight="1" x14ac:dyDescent="0.2">
      <c r="A3" s="120" t="s">
        <v>160</v>
      </c>
      <c r="B3" s="121" t="str">
        <f>'č. 1 čl. přísp.'!D3</f>
        <v>počet obyvatel k 1. 1. 2022 dle MF</v>
      </c>
      <c r="C3" s="146" t="s">
        <v>161</v>
      </c>
      <c r="D3" s="146" t="s">
        <v>162</v>
      </c>
      <c r="E3" s="146" t="s">
        <v>163</v>
      </c>
      <c r="F3" s="220" t="s">
        <v>164</v>
      </c>
      <c r="G3" s="122" t="s">
        <v>165</v>
      </c>
      <c r="H3" s="241" t="s">
        <v>166</v>
      </c>
      <c r="I3" s="395"/>
      <c r="J3" s="395"/>
      <c r="K3" s="395"/>
      <c r="L3" s="395"/>
      <c r="M3"/>
    </row>
    <row r="4" spans="1:19" x14ac:dyDescent="0.2">
      <c r="A4" s="123" t="s">
        <v>167</v>
      </c>
      <c r="B4" s="124"/>
      <c r="C4" s="147">
        <v>97.3</v>
      </c>
      <c r="D4" s="147">
        <v>67.599999999999994</v>
      </c>
      <c r="E4" s="147"/>
      <c r="F4" s="249">
        <f>68+G25</f>
        <v>68</v>
      </c>
      <c r="G4" s="250">
        <f>F4</f>
        <v>68</v>
      </c>
      <c r="H4" s="244"/>
      <c r="I4" s="402" t="s">
        <v>221</v>
      </c>
      <c r="J4" s="403" t="s">
        <v>220</v>
      </c>
      <c r="K4" s="407" t="s">
        <v>219</v>
      </c>
      <c r="L4" s="404" t="s">
        <v>218</v>
      </c>
      <c r="M4" s="409" t="s">
        <v>219</v>
      </c>
      <c r="N4" s="244"/>
      <c r="O4" s="117"/>
      <c r="P4" s="230" t="s">
        <v>105</v>
      </c>
    </row>
    <row r="5" spans="1:19" ht="26.25" thickBot="1" x14ac:dyDescent="0.25">
      <c r="A5" s="125" t="s">
        <v>168</v>
      </c>
      <c r="B5" s="126"/>
      <c r="C5" s="148">
        <f>C24/B24</f>
        <v>97.3</v>
      </c>
      <c r="D5" s="148">
        <f>D24/B24</f>
        <v>95.999621212121198</v>
      </c>
      <c r="E5" s="148" t="e">
        <f>E24/B24</f>
        <v>#REF!</v>
      </c>
      <c r="F5" s="127">
        <f>F24/B24</f>
        <v>93.315774426346735</v>
      </c>
      <c r="G5" s="242">
        <f>G24/B24</f>
        <v>93.315728305785129</v>
      </c>
      <c r="H5" s="244"/>
      <c r="I5" s="401" t="s">
        <v>222</v>
      </c>
      <c r="J5" s="400">
        <v>93.32</v>
      </c>
      <c r="K5" s="408"/>
      <c r="L5" s="405">
        <v>65.099999999999994</v>
      </c>
      <c r="M5" s="410"/>
      <c r="N5" s="450" t="s">
        <v>169</v>
      </c>
      <c r="O5" s="451"/>
      <c r="P5" s="452"/>
    </row>
    <row r="6" spans="1:19" x14ac:dyDescent="0.2">
      <c r="A6" s="359" t="s">
        <v>116</v>
      </c>
      <c r="B6" s="227">
        <f>'Sumář všech příspěvků rok 2023'!H29</f>
        <v>691</v>
      </c>
      <c r="C6" s="197">
        <f>B6*C$4</f>
        <v>67234.3</v>
      </c>
      <c r="D6" s="149">
        <f>B6*D$4</f>
        <v>46711.6</v>
      </c>
      <c r="E6" s="149">
        <f>D6</f>
        <v>46711.6</v>
      </c>
      <c r="F6" s="221">
        <f>B6*F$4-'č. 4 protidrog.prevence'!C5</f>
        <v>44987.338214005045</v>
      </c>
      <c r="G6" s="360">
        <f>ROUND(F6,0)</f>
        <v>44987</v>
      </c>
      <c r="H6" s="244">
        <f>'č. 4 protidrog.prevence'!D5</f>
        <v>2001</v>
      </c>
      <c r="I6" s="396">
        <f>G6/B6</f>
        <v>65.1041968162084</v>
      </c>
      <c r="J6" s="418">
        <f>J5*B6</f>
        <v>64484.119999999995</v>
      </c>
      <c r="K6" s="411">
        <f t="shared" ref="K6:K24" si="0">J6-G6</f>
        <v>19497.119999999995</v>
      </c>
      <c r="L6" s="420">
        <f>L5*B6</f>
        <v>44984.1</v>
      </c>
      <c r="M6" s="412">
        <f t="shared" ref="M6:M24" si="1">L6-G6</f>
        <v>-2.9000000000014552</v>
      </c>
      <c r="N6" s="361" t="s">
        <v>116</v>
      </c>
      <c r="O6" s="246">
        <f>SUM(G6+H6)</f>
        <v>46988</v>
      </c>
      <c r="P6" s="9">
        <v>2012</v>
      </c>
    </row>
    <row r="7" spans="1:19" x14ac:dyDescent="0.2">
      <c r="A7" s="362" t="s">
        <v>117</v>
      </c>
      <c r="B7" s="227"/>
      <c r="C7" s="198">
        <f t="shared" ref="C7:C23" si="2">B7*C$4</f>
        <v>0</v>
      </c>
      <c r="D7" s="150">
        <f>B7*D$4</f>
        <v>0</v>
      </c>
      <c r="E7" s="150">
        <v>5069.6099999999997</v>
      </c>
      <c r="F7" s="222">
        <v>0</v>
      </c>
      <c r="G7" s="363">
        <f t="shared" ref="G7:G23" si="3">ROUND(F7,0)</f>
        <v>0</v>
      </c>
      <c r="H7" s="244">
        <f>'č. 4 protidrog.prevence'!D6</f>
        <v>2736</v>
      </c>
      <c r="I7" s="396"/>
      <c r="J7" s="418">
        <f>J5*B7</f>
        <v>0</v>
      </c>
      <c r="K7" s="406">
        <f t="shared" si="0"/>
        <v>0</v>
      </c>
      <c r="L7" s="420">
        <f>L5*B7</f>
        <v>0</v>
      </c>
      <c r="M7" s="413">
        <f t="shared" si="1"/>
        <v>0</v>
      </c>
      <c r="N7" s="364" t="s">
        <v>117</v>
      </c>
      <c r="O7" s="246">
        <f t="shared" ref="O7:O23" si="4">SUM(G7+H7)</f>
        <v>2736</v>
      </c>
      <c r="P7" s="9">
        <v>2013</v>
      </c>
    </row>
    <row r="8" spans="1:19" x14ac:dyDescent="0.2">
      <c r="A8" s="365" t="s">
        <v>118</v>
      </c>
      <c r="B8" s="227">
        <f>'Sumář všech příspěvků rok 2023'!H31</f>
        <v>318</v>
      </c>
      <c r="C8" s="197">
        <f t="shared" si="2"/>
        <v>30941.399999999998</v>
      </c>
      <c r="D8" s="149">
        <f>B8*D$4</f>
        <v>21496.799999999999</v>
      </c>
      <c r="E8" s="149">
        <f>D8</f>
        <v>21496.799999999999</v>
      </c>
      <c r="F8" s="221">
        <f>B8*F$4-'č. 4 protidrog.prevence'!C7</f>
        <v>20703.290234520413</v>
      </c>
      <c r="G8" s="360">
        <f t="shared" si="3"/>
        <v>20703</v>
      </c>
      <c r="H8" s="244">
        <f>'č. 4 protidrog.prevence'!D7</f>
        <v>921</v>
      </c>
      <c r="I8" s="396">
        <f t="shared" ref="I8:I24" si="5">G8/B8</f>
        <v>65.103773584905667</v>
      </c>
      <c r="J8" s="418">
        <f>J5*B8</f>
        <v>29675.759999999998</v>
      </c>
      <c r="K8" s="415">
        <f t="shared" si="0"/>
        <v>8972.7599999999984</v>
      </c>
      <c r="L8" s="420">
        <f>L5*B8</f>
        <v>20701.8</v>
      </c>
      <c r="M8" s="413">
        <f t="shared" si="1"/>
        <v>-1.2000000000007276</v>
      </c>
      <c r="N8" s="364" t="s">
        <v>118</v>
      </c>
      <c r="O8" s="246">
        <f t="shared" si="4"/>
        <v>21624</v>
      </c>
      <c r="P8" s="9">
        <v>2015</v>
      </c>
    </row>
    <row r="9" spans="1:19" x14ac:dyDescent="0.2">
      <c r="A9" s="365" t="s">
        <v>119</v>
      </c>
      <c r="B9" s="227">
        <f>'Sumář všech příspěvků rok 2023'!H32</f>
        <v>703</v>
      </c>
      <c r="C9" s="197">
        <f t="shared" si="2"/>
        <v>68401.899999999994</v>
      </c>
      <c r="D9" s="149">
        <f>B9*D$4</f>
        <v>47522.799999999996</v>
      </c>
      <c r="E9" s="149">
        <f t="shared" ref="E9:E23" si="6">D9</f>
        <v>47522.799999999996</v>
      </c>
      <c r="F9" s="221">
        <f>B9*F$4-'č. 4 protidrog.prevence'!C8</f>
        <v>45768.594449269971</v>
      </c>
      <c r="G9" s="360">
        <f t="shared" si="3"/>
        <v>45769</v>
      </c>
      <c r="H9" s="244">
        <f>'č. 4 protidrog.prevence'!D8</f>
        <v>2035</v>
      </c>
      <c r="I9" s="396">
        <f t="shared" si="5"/>
        <v>65.10526315789474</v>
      </c>
      <c r="J9" s="418">
        <f>J5*B9</f>
        <v>65603.959999999992</v>
      </c>
      <c r="K9" s="415">
        <f t="shared" si="0"/>
        <v>19834.959999999992</v>
      </c>
      <c r="L9" s="420">
        <f>L5*B9</f>
        <v>45765.299999999996</v>
      </c>
      <c r="M9" s="413">
        <f t="shared" si="1"/>
        <v>-3.7000000000043656</v>
      </c>
      <c r="N9" s="364" t="s">
        <v>119</v>
      </c>
      <c r="O9" s="246">
        <f t="shared" si="4"/>
        <v>47804</v>
      </c>
      <c r="P9" s="9">
        <v>2017</v>
      </c>
    </row>
    <row r="10" spans="1:19" x14ac:dyDescent="0.2">
      <c r="A10" s="365" t="s">
        <v>120</v>
      </c>
      <c r="B10" s="227">
        <f>'Sumář všech příspěvků rok 2023'!H33</f>
        <v>558</v>
      </c>
      <c r="C10" s="197">
        <f t="shared" si="2"/>
        <v>54293.4</v>
      </c>
      <c r="D10" s="149">
        <f>B10*D$4</f>
        <v>37720.799999999996</v>
      </c>
      <c r="E10" s="149">
        <f t="shared" si="6"/>
        <v>37720.799999999996</v>
      </c>
      <c r="F10" s="221">
        <f>B10*F$4-'č. 4 protidrog.prevence'!C9</f>
        <v>36328.414939818838</v>
      </c>
      <c r="G10" s="360">
        <f t="shared" si="3"/>
        <v>36328</v>
      </c>
      <c r="H10" s="244">
        <f>'č. 4 protidrog.prevence'!D9</f>
        <v>1616</v>
      </c>
      <c r="I10" s="396">
        <f t="shared" si="5"/>
        <v>65.103942652329749</v>
      </c>
      <c r="J10" s="418">
        <f>J5*B10</f>
        <v>52072.56</v>
      </c>
      <c r="K10" s="415">
        <f t="shared" si="0"/>
        <v>15744.559999999998</v>
      </c>
      <c r="L10" s="420">
        <f>L5*B10</f>
        <v>36325.799999999996</v>
      </c>
      <c r="M10" s="413">
        <f t="shared" si="1"/>
        <v>-2.2000000000043656</v>
      </c>
      <c r="N10" s="364" t="s">
        <v>120</v>
      </c>
      <c r="O10" s="246">
        <f t="shared" si="4"/>
        <v>37944</v>
      </c>
      <c r="P10" s="9">
        <v>2019</v>
      </c>
    </row>
    <row r="11" spans="1:19" x14ac:dyDescent="0.2">
      <c r="A11" s="366" t="s">
        <v>121</v>
      </c>
      <c r="B11" s="227">
        <f>'Sumář všech příspěvků rok 2023'!H34</f>
        <v>7301</v>
      </c>
      <c r="C11" s="199">
        <f t="shared" si="2"/>
        <v>710387.29999999993</v>
      </c>
      <c r="D11" s="151">
        <v>1000000</v>
      </c>
      <c r="E11" s="151">
        <f t="shared" si="6"/>
        <v>1000000</v>
      </c>
      <c r="F11" s="223">
        <f>1000000-'č. 4 protidrog.prevence'!C10</f>
        <v>978861.31447243248</v>
      </c>
      <c r="G11" s="367">
        <f t="shared" si="3"/>
        <v>978861</v>
      </c>
      <c r="H11" s="244">
        <f>'č. 4 protidrog.prevence'!D10</f>
        <v>21141</v>
      </c>
      <c r="I11" s="397">
        <f t="shared" si="5"/>
        <v>134.07218189289139</v>
      </c>
      <c r="J11" s="418">
        <f>J5*B11</f>
        <v>681329.32</v>
      </c>
      <c r="K11" s="416">
        <f t="shared" si="0"/>
        <v>-297531.68000000005</v>
      </c>
      <c r="L11" s="420">
        <f>L5*B11</f>
        <v>475295.1</v>
      </c>
      <c r="M11" s="414">
        <f t="shared" si="1"/>
        <v>-503565.9</v>
      </c>
      <c r="N11" s="364" t="s">
        <v>121</v>
      </c>
      <c r="O11" s="246">
        <f t="shared" si="4"/>
        <v>1000002</v>
      </c>
      <c r="P11" s="9">
        <v>2003</v>
      </c>
      <c r="S11" s="6"/>
    </row>
    <row r="12" spans="1:19" x14ac:dyDescent="0.2">
      <c r="A12" s="365" t="s">
        <v>122</v>
      </c>
      <c r="B12" s="227">
        <f>'Sumář všech příspěvků rok 2023'!H35</f>
        <v>443</v>
      </c>
      <c r="C12" s="197">
        <f t="shared" si="2"/>
        <v>43103.9</v>
      </c>
      <c r="D12" s="149">
        <f t="shared" ref="D12:D19" si="7">B12*D$4</f>
        <v>29946.799999999999</v>
      </c>
      <c r="E12" s="149">
        <f t="shared" si="6"/>
        <v>29946.799999999999</v>
      </c>
      <c r="F12" s="221">
        <f>B12*F$4-'č. 4 protidrog.prevence'!C11</f>
        <v>28841.376018530009</v>
      </c>
      <c r="G12" s="360">
        <f t="shared" si="3"/>
        <v>28841</v>
      </c>
      <c r="H12" s="244">
        <f>'č. 4 protidrog.prevence'!D11</f>
        <v>1283</v>
      </c>
      <c r="I12" s="396">
        <f t="shared" si="5"/>
        <v>65.103837471783294</v>
      </c>
      <c r="J12" s="418">
        <f>J5*B12</f>
        <v>41340.759999999995</v>
      </c>
      <c r="K12" s="415">
        <f t="shared" si="0"/>
        <v>12499.759999999995</v>
      </c>
      <c r="L12" s="420">
        <f>L5*B12</f>
        <v>28839.3</v>
      </c>
      <c r="M12" s="413">
        <f t="shared" si="1"/>
        <v>-1.7000000000007276</v>
      </c>
      <c r="N12" s="364" t="s">
        <v>122</v>
      </c>
      <c r="O12" s="246">
        <f t="shared" si="4"/>
        <v>30124</v>
      </c>
      <c r="P12" s="9">
        <v>2020</v>
      </c>
      <c r="S12" s="39"/>
    </row>
    <row r="13" spans="1:19" x14ac:dyDescent="0.2">
      <c r="A13" s="365" t="s">
        <v>123</v>
      </c>
      <c r="B13" s="227">
        <f>'Sumář všech příspěvků rok 2023'!H36</f>
        <v>2699</v>
      </c>
      <c r="C13" s="197">
        <f t="shared" si="2"/>
        <v>262612.7</v>
      </c>
      <c r="D13" s="149">
        <f t="shared" si="7"/>
        <v>182452.4</v>
      </c>
      <c r="E13" s="149">
        <f t="shared" si="6"/>
        <v>182452.4</v>
      </c>
      <c r="F13" s="221">
        <f>B13*F$4-'č. 4 protidrog.prevence'!C12</f>
        <v>175717.5482483352</v>
      </c>
      <c r="G13" s="360">
        <f t="shared" si="3"/>
        <v>175718</v>
      </c>
      <c r="H13" s="244">
        <f>'č. 4 protidrog.prevence'!D12</f>
        <v>7814</v>
      </c>
      <c r="I13" s="396">
        <f t="shared" si="5"/>
        <v>65.104853649499816</v>
      </c>
      <c r="J13" s="418">
        <f>J5*B13</f>
        <v>251870.68</v>
      </c>
      <c r="K13" s="415">
        <f t="shared" si="0"/>
        <v>76152.679999999993</v>
      </c>
      <c r="L13" s="420">
        <f>L5*B13</f>
        <v>175704.9</v>
      </c>
      <c r="M13" s="413">
        <f t="shared" si="1"/>
        <v>-13.100000000005821</v>
      </c>
      <c r="N13" s="364" t="s">
        <v>123</v>
      </c>
      <c r="O13" s="246">
        <f t="shared" si="4"/>
        <v>183532</v>
      </c>
      <c r="P13" s="9">
        <v>2004</v>
      </c>
    </row>
    <row r="14" spans="1:19" x14ac:dyDescent="0.2">
      <c r="A14" s="365" t="s">
        <v>124</v>
      </c>
      <c r="B14" s="227">
        <f>'Sumář všech příspěvků rok 2023'!H37</f>
        <v>266</v>
      </c>
      <c r="C14" s="197">
        <f t="shared" si="2"/>
        <v>25881.8</v>
      </c>
      <c r="D14" s="149">
        <f t="shared" si="7"/>
        <v>17981.599999999999</v>
      </c>
      <c r="E14" s="149">
        <f t="shared" si="6"/>
        <v>17981.599999999999</v>
      </c>
      <c r="F14" s="221">
        <f>B14*F$4-'č. 4 protidrog.prevence'!C13</f>
        <v>17317.846548372421</v>
      </c>
      <c r="G14" s="360">
        <f t="shared" si="3"/>
        <v>17318</v>
      </c>
      <c r="H14" s="244">
        <f>'č. 4 protidrog.prevence'!D13</f>
        <v>770</v>
      </c>
      <c r="I14" s="396">
        <f t="shared" si="5"/>
        <v>65.10526315789474</v>
      </c>
      <c r="J14" s="418">
        <f>J5*B14</f>
        <v>24823.119999999999</v>
      </c>
      <c r="K14" s="415">
        <f t="shared" si="0"/>
        <v>7505.119999999999</v>
      </c>
      <c r="L14" s="420">
        <f>L5*B14</f>
        <v>17316.599999999999</v>
      </c>
      <c r="M14" s="413">
        <f t="shared" si="1"/>
        <v>-1.4000000000014552</v>
      </c>
      <c r="N14" s="364" t="s">
        <v>124</v>
      </c>
      <c r="O14" s="246">
        <f t="shared" si="4"/>
        <v>18088</v>
      </c>
      <c r="P14" s="9">
        <v>2021</v>
      </c>
    </row>
    <row r="15" spans="1:19" x14ac:dyDescent="0.2">
      <c r="A15" s="365" t="s">
        <v>125</v>
      </c>
      <c r="B15" s="227">
        <f>'Sumář všech příspěvků rok 2023'!H38</f>
        <v>227</v>
      </c>
      <c r="C15" s="197">
        <f t="shared" si="2"/>
        <v>22087.1</v>
      </c>
      <c r="D15" s="149">
        <f t="shared" si="7"/>
        <v>15345.199999999999</v>
      </c>
      <c r="E15" s="149">
        <f t="shared" si="6"/>
        <v>15345.199999999999</v>
      </c>
      <c r="F15" s="221">
        <f>B15*F$4-'č. 4 protidrog.prevence'!C14</f>
        <v>14778.763783761426</v>
      </c>
      <c r="G15" s="360">
        <f t="shared" si="3"/>
        <v>14779</v>
      </c>
      <c r="H15" s="244">
        <f>'č. 4 protidrog.prevence'!D14</f>
        <v>657</v>
      </c>
      <c r="I15" s="396">
        <f t="shared" si="5"/>
        <v>65.105726872246692</v>
      </c>
      <c r="J15" s="418">
        <f>J5*B15</f>
        <v>21183.64</v>
      </c>
      <c r="K15" s="415">
        <f t="shared" si="0"/>
        <v>6404.6399999999994</v>
      </c>
      <c r="L15" s="420">
        <f>L5*B15</f>
        <v>14777.699999999999</v>
      </c>
      <c r="M15" s="413">
        <f t="shared" si="1"/>
        <v>-1.3000000000010914</v>
      </c>
      <c r="N15" s="364" t="s">
        <v>125</v>
      </c>
      <c r="O15" s="246">
        <f t="shared" si="4"/>
        <v>15436</v>
      </c>
      <c r="P15" s="9">
        <v>2023</v>
      </c>
    </row>
    <row r="16" spans="1:19" x14ac:dyDescent="0.2">
      <c r="A16" s="365" t="s">
        <v>126</v>
      </c>
      <c r="B16" s="227">
        <f>'Sumář všech příspěvků rok 2023'!H39</f>
        <v>644</v>
      </c>
      <c r="C16" s="197">
        <f t="shared" si="2"/>
        <v>62661.2</v>
      </c>
      <c r="D16" s="149">
        <f t="shared" si="7"/>
        <v>43534.399999999994</v>
      </c>
      <c r="E16" s="149">
        <f t="shared" si="6"/>
        <v>43534.399999999994</v>
      </c>
      <c r="F16" s="221">
        <f>B16*F$4-'č. 4 protidrog.prevence'!C15</f>
        <v>41927.417959217441</v>
      </c>
      <c r="G16" s="360">
        <f t="shared" si="3"/>
        <v>41927</v>
      </c>
      <c r="H16" s="244">
        <f>'č. 4 protidrog.prevence'!D15</f>
        <v>1865</v>
      </c>
      <c r="I16" s="396">
        <f t="shared" si="5"/>
        <v>65.104037267080741</v>
      </c>
      <c r="J16" s="418">
        <f>J5*B16</f>
        <v>60098.079999999994</v>
      </c>
      <c r="K16" s="415">
        <f t="shared" si="0"/>
        <v>18171.079999999994</v>
      </c>
      <c r="L16" s="420">
        <f>L5*B16</f>
        <v>41924.399999999994</v>
      </c>
      <c r="M16" s="413">
        <f t="shared" si="1"/>
        <v>-2.6000000000058208</v>
      </c>
      <c r="N16" s="364" t="s">
        <v>126</v>
      </c>
      <c r="O16" s="246">
        <f t="shared" si="4"/>
        <v>43792</v>
      </c>
      <c r="P16" s="9">
        <v>2027</v>
      </c>
    </row>
    <row r="17" spans="1:21" x14ac:dyDescent="0.2">
      <c r="A17" s="365" t="s">
        <v>127</v>
      </c>
      <c r="B17" s="227">
        <f>'Sumář všech příspěvků rok 2023'!H40</f>
        <v>482</v>
      </c>
      <c r="C17" s="197">
        <f t="shared" si="2"/>
        <v>46898.6</v>
      </c>
      <c r="D17" s="149">
        <f t="shared" si="7"/>
        <v>32583.199999999997</v>
      </c>
      <c r="E17" s="149" t="e">
        <f>'[1]dotace bez Bul., Rasp.'!P24/'[1]přepočet na obce'!B29*'[1]přepočet na obce'!B15</f>
        <v>#REF!</v>
      </c>
      <c r="F17" s="221">
        <f>B17*F$4-'č. 4 protidrog.prevence'!C16</f>
        <v>31380.458783141003</v>
      </c>
      <c r="G17" s="360">
        <f t="shared" si="3"/>
        <v>31380</v>
      </c>
      <c r="H17" s="244">
        <f>'č. 4 protidrog.prevence'!D16</f>
        <v>1396</v>
      </c>
      <c r="I17" s="396">
        <f t="shared" si="5"/>
        <v>65.103734439834028</v>
      </c>
      <c r="J17" s="418">
        <f>J5*B17</f>
        <v>44980.24</v>
      </c>
      <c r="K17" s="415">
        <f t="shared" si="0"/>
        <v>13600.239999999998</v>
      </c>
      <c r="L17" s="420">
        <f>L5*B17</f>
        <v>31378.199999999997</v>
      </c>
      <c r="M17" s="413">
        <f t="shared" si="1"/>
        <v>-1.8000000000029104</v>
      </c>
      <c r="N17" s="364" t="s">
        <v>127</v>
      </c>
      <c r="O17" s="246">
        <f t="shared" si="4"/>
        <v>32776</v>
      </c>
      <c r="P17" s="9">
        <v>2029</v>
      </c>
    </row>
    <row r="18" spans="1:21" x14ac:dyDescent="0.2">
      <c r="A18" s="365" t="s">
        <v>128</v>
      </c>
      <c r="B18" s="227">
        <f>'Sumář všech příspěvků rok 2023'!H41</f>
        <v>360</v>
      </c>
      <c r="C18" s="197">
        <f t="shared" si="2"/>
        <v>35028</v>
      </c>
      <c r="D18" s="149">
        <f t="shared" si="7"/>
        <v>24335.999999999996</v>
      </c>
      <c r="E18" s="149">
        <f t="shared" si="6"/>
        <v>24335.999999999996</v>
      </c>
      <c r="F18" s="221">
        <f>B18*F$4-'č. 4 protidrog.prevence'!C17</f>
        <v>23437.687057947638</v>
      </c>
      <c r="G18" s="360">
        <f t="shared" si="3"/>
        <v>23438</v>
      </c>
      <c r="H18" s="244">
        <f>'č. 4 protidrog.prevence'!D17</f>
        <v>1042</v>
      </c>
      <c r="I18" s="396">
        <f t="shared" si="5"/>
        <v>65.105555555555554</v>
      </c>
      <c r="J18" s="418">
        <f>J5*B18</f>
        <v>33595.199999999997</v>
      </c>
      <c r="K18" s="415">
        <f t="shared" si="0"/>
        <v>10157.199999999997</v>
      </c>
      <c r="L18" s="420">
        <f>L5*B18</f>
        <v>23435.999999999996</v>
      </c>
      <c r="M18" s="413">
        <f t="shared" si="1"/>
        <v>-2.000000000003638</v>
      </c>
      <c r="N18" s="364" t="s">
        <v>128</v>
      </c>
      <c r="O18" s="246">
        <f t="shared" si="4"/>
        <v>24480</v>
      </c>
      <c r="P18" s="9">
        <v>2032</v>
      </c>
    </row>
    <row r="19" spans="1:21" x14ac:dyDescent="0.2">
      <c r="A19" s="365" t="s">
        <v>129</v>
      </c>
      <c r="B19" s="227">
        <f>'Sumář všech příspěvků rok 2023'!H42</f>
        <v>446</v>
      </c>
      <c r="C19" s="197">
        <f t="shared" si="2"/>
        <v>43395.799999999996</v>
      </c>
      <c r="D19" s="149">
        <f t="shared" si="7"/>
        <v>30149.599999999999</v>
      </c>
      <c r="E19" s="149">
        <f t="shared" si="6"/>
        <v>30149.599999999999</v>
      </c>
      <c r="F19" s="221">
        <f>B19*F$4-'č. 4 protidrog.prevence'!C18</f>
        <v>29036.690077346237</v>
      </c>
      <c r="G19" s="360">
        <f t="shared" si="3"/>
        <v>29037</v>
      </c>
      <c r="H19" s="244">
        <f>'č. 4 protidrog.prevence'!D18</f>
        <v>1291</v>
      </c>
      <c r="I19" s="396">
        <f t="shared" si="5"/>
        <v>65.105381165919283</v>
      </c>
      <c r="J19" s="418">
        <f>J5*B19</f>
        <v>41620.719999999994</v>
      </c>
      <c r="K19" s="415">
        <f t="shared" si="0"/>
        <v>12583.719999999994</v>
      </c>
      <c r="L19" s="420">
        <f>L5*B19</f>
        <v>29034.6</v>
      </c>
      <c r="M19" s="413">
        <f t="shared" si="1"/>
        <v>-2.4000000000014552</v>
      </c>
      <c r="N19" s="364" t="s">
        <v>129</v>
      </c>
      <c r="O19" s="246">
        <f t="shared" si="4"/>
        <v>30328</v>
      </c>
      <c r="P19" s="9">
        <v>2033</v>
      </c>
    </row>
    <row r="20" spans="1:21" x14ac:dyDescent="0.2">
      <c r="A20" s="366" t="s">
        <v>130</v>
      </c>
      <c r="B20" s="227">
        <f>'Sumář všech příspěvků rok 2023'!H43</f>
        <v>3649</v>
      </c>
      <c r="C20" s="199">
        <f t="shared" si="2"/>
        <v>355047.7</v>
      </c>
      <c r="D20" s="151">
        <v>400000</v>
      </c>
      <c r="E20" s="151">
        <v>400000</v>
      </c>
      <c r="F20" s="223">
        <f>400000-'č. 4 protidrog.prevence'!C19</f>
        <v>389435.00020680815</v>
      </c>
      <c r="G20" s="367">
        <f t="shared" si="3"/>
        <v>389435</v>
      </c>
      <c r="H20" s="244">
        <f>'č. 4 protidrog.prevence'!D19</f>
        <v>10565</v>
      </c>
      <c r="I20" s="397">
        <f t="shared" si="5"/>
        <v>106.72375993422855</v>
      </c>
      <c r="J20" s="418">
        <f>J5*B20</f>
        <v>340524.68</v>
      </c>
      <c r="K20" s="416">
        <f t="shared" si="0"/>
        <v>-48910.320000000007</v>
      </c>
      <c r="L20" s="420">
        <f>L5*B20</f>
        <v>237549.89999999997</v>
      </c>
      <c r="M20" s="414">
        <f t="shared" si="1"/>
        <v>-151885.10000000003</v>
      </c>
      <c r="N20" s="364" t="s">
        <v>130</v>
      </c>
      <c r="O20" s="246">
        <f t="shared" si="4"/>
        <v>400000</v>
      </c>
      <c r="P20" s="9">
        <v>2008</v>
      </c>
      <c r="R20" s="39"/>
      <c r="S20" s="6"/>
    </row>
    <row r="21" spans="1:21" x14ac:dyDescent="0.2">
      <c r="A21" s="365" t="s">
        <v>131</v>
      </c>
      <c r="B21" s="227">
        <f>'Sumář všech příspěvků rok 2023'!H44</f>
        <v>286</v>
      </c>
      <c r="C21" s="197">
        <f t="shared" si="2"/>
        <v>27827.8</v>
      </c>
      <c r="D21" s="149">
        <f>B21*D$4</f>
        <v>19333.599999999999</v>
      </c>
      <c r="E21" s="149">
        <f t="shared" si="6"/>
        <v>19333.599999999999</v>
      </c>
      <c r="F21" s="221">
        <f>B21*F$4-'č. 4 protidrog.prevence'!C20</f>
        <v>18619.940273813954</v>
      </c>
      <c r="G21" s="360">
        <f t="shared" si="3"/>
        <v>18620</v>
      </c>
      <c r="H21" s="244">
        <f>'č. 4 protidrog.prevence'!D20</f>
        <v>828</v>
      </c>
      <c r="I21" s="396">
        <f t="shared" si="5"/>
        <v>65.104895104895107</v>
      </c>
      <c r="J21" s="418">
        <f>J5*B21</f>
        <v>26689.519999999997</v>
      </c>
      <c r="K21" s="415">
        <f t="shared" si="0"/>
        <v>8069.5199999999968</v>
      </c>
      <c r="L21" s="420">
        <f>L5*B21</f>
        <v>18618.599999999999</v>
      </c>
      <c r="M21" s="413">
        <f t="shared" si="1"/>
        <v>-1.4000000000014552</v>
      </c>
      <c r="N21" s="364" t="s">
        <v>131</v>
      </c>
      <c r="O21" s="246">
        <f t="shared" si="4"/>
        <v>19448</v>
      </c>
      <c r="P21" s="9">
        <v>2041</v>
      </c>
      <c r="S21" s="39"/>
    </row>
    <row r="22" spans="1:21" x14ac:dyDescent="0.2">
      <c r="A22" s="362" t="s">
        <v>137</v>
      </c>
      <c r="B22" s="227">
        <v>2836</v>
      </c>
      <c r="C22" s="200">
        <f t="shared" si="2"/>
        <v>275942.8</v>
      </c>
      <c r="D22" s="152">
        <f>B22*D$4</f>
        <v>191713.59999999998</v>
      </c>
      <c r="E22" s="152">
        <v>15491.39</v>
      </c>
      <c r="F22" s="254">
        <f>B22*F$4-'č. 4 protidrog.prevence'!C21</f>
        <v>184636.89026760971</v>
      </c>
      <c r="G22" s="368">
        <f t="shared" ref="G22" si="8">ROUND(F22,0)</f>
        <v>184637</v>
      </c>
      <c r="H22" s="244">
        <f>'č. 4 protidrog.prevence'!D21</f>
        <v>8211</v>
      </c>
      <c r="I22" s="396">
        <f t="shared" si="5"/>
        <v>65.104724964739063</v>
      </c>
      <c r="J22" s="418">
        <f>J5*B22</f>
        <v>264655.51999999996</v>
      </c>
      <c r="K22" s="415">
        <f t="shared" si="0"/>
        <v>80018.51999999996</v>
      </c>
      <c r="L22" s="420">
        <f>L5*B22</f>
        <v>184623.59999999998</v>
      </c>
      <c r="M22" s="413">
        <f t="shared" si="1"/>
        <v>-13.400000000023283</v>
      </c>
      <c r="N22" s="364" t="s">
        <v>137</v>
      </c>
      <c r="O22" s="246">
        <f t="shared" si="4"/>
        <v>192848</v>
      </c>
      <c r="P22" s="9">
        <v>2009</v>
      </c>
    </row>
    <row r="23" spans="1:21" ht="13.5" thickBot="1" x14ac:dyDescent="0.25">
      <c r="A23" s="369" t="s">
        <v>133</v>
      </c>
      <c r="B23" s="227">
        <f>'Sumář všech příspěvků rok 2023'!H46</f>
        <v>1323</v>
      </c>
      <c r="C23" s="197">
        <f t="shared" si="2"/>
        <v>128727.9</v>
      </c>
      <c r="D23" s="149">
        <f>B23*D$4</f>
        <v>89434.799999999988</v>
      </c>
      <c r="E23" s="149">
        <f t="shared" si="6"/>
        <v>89434.799999999988</v>
      </c>
      <c r="F23" s="221">
        <f>B23*F$4-'č. 4 protidrog.prevence'!C22</f>
        <v>86133.49993795756</v>
      </c>
      <c r="G23" s="360">
        <f t="shared" si="3"/>
        <v>86133</v>
      </c>
      <c r="H23" s="244">
        <f>'č. 4 protidrog.prevence'!D22</f>
        <v>3831</v>
      </c>
      <c r="I23" s="396">
        <f t="shared" si="5"/>
        <v>65.10430839002268</v>
      </c>
      <c r="J23" s="418">
        <f>J5*B23</f>
        <v>123462.35999999999</v>
      </c>
      <c r="K23" s="415">
        <f t="shared" si="0"/>
        <v>37329.359999999986</v>
      </c>
      <c r="L23" s="420">
        <f>L5*B23</f>
        <v>86127.299999999988</v>
      </c>
      <c r="M23" s="413">
        <f t="shared" si="1"/>
        <v>-5.7000000000116415</v>
      </c>
      <c r="N23" s="370" t="s">
        <v>133</v>
      </c>
      <c r="O23" s="246">
        <f t="shared" si="4"/>
        <v>89964</v>
      </c>
      <c r="P23" s="9">
        <v>2053</v>
      </c>
    </row>
    <row r="24" spans="1:21" ht="13.5" thickBot="1" x14ac:dyDescent="0.25">
      <c r="A24" s="128" t="s">
        <v>170</v>
      </c>
      <c r="B24" s="129">
        <f t="shared" ref="B24:J24" si="9">SUM(B6:B23)</f>
        <v>23232</v>
      </c>
      <c r="C24" s="153">
        <f t="shared" si="9"/>
        <v>2260473.6</v>
      </c>
      <c r="D24" s="153">
        <f t="shared" si="9"/>
        <v>2230263.1999999997</v>
      </c>
      <c r="E24" s="153" t="e">
        <f t="shared" si="9"/>
        <v>#REF!</v>
      </c>
      <c r="F24" s="224">
        <f t="shared" si="9"/>
        <v>2167912.0714728874</v>
      </c>
      <c r="G24" s="243">
        <f t="shared" si="9"/>
        <v>2167911</v>
      </c>
      <c r="H24" s="398">
        <f t="shared" si="9"/>
        <v>70003</v>
      </c>
      <c r="I24" s="399">
        <f t="shared" si="5"/>
        <v>93.315728305785129</v>
      </c>
      <c r="J24" s="419">
        <f t="shared" si="9"/>
        <v>2168010.2399999998</v>
      </c>
      <c r="K24" s="417">
        <f t="shared" si="0"/>
        <v>99.239999999757856</v>
      </c>
      <c r="L24" s="421">
        <f t="shared" ref="L24" si="10">SUM(L6:L23)</f>
        <v>1512403.2</v>
      </c>
      <c r="M24" s="414">
        <f t="shared" si="1"/>
        <v>-655507.80000000005</v>
      </c>
      <c r="N24" s="244"/>
      <c r="O24" s="245">
        <f>SUM(O6:O23)</f>
        <v>2237914</v>
      </c>
      <c r="P24" s="9"/>
      <c r="T24" s="39"/>
      <c r="U24" s="39"/>
    </row>
    <row r="25" spans="1:21" ht="13.5" thickBot="1" x14ac:dyDescent="0.25"/>
    <row r="26" spans="1:21" ht="192" thickBot="1" x14ac:dyDescent="0.25">
      <c r="A26" s="120" t="s">
        <v>160</v>
      </c>
      <c r="B26" s="121">
        <f>'č. 1 čl. přísp.'!D26</f>
        <v>0</v>
      </c>
      <c r="C26" s="146" t="s">
        <v>161</v>
      </c>
      <c r="D26" s="146" t="s">
        <v>162</v>
      </c>
      <c r="E26" s="146" t="s">
        <v>163</v>
      </c>
      <c r="F26" s="220" t="s">
        <v>171</v>
      </c>
      <c r="G26" s="122" t="s">
        <v>165</v>
      </c>
      <c r="H26" s="256" t="s">
        <v>166</v>
      </c>
      <c r="I26" s="395"/>
      <c r="J26" s="395"/>
      <c r="K26" s="395"/>
      <c r="L26" s="395"/>
      <c r="M26"/>
    </row>
    <row r="27" spans="1:21" x14ac:dyDescent="0.2">
      <c r="A27" s="257" t="s">
        <v>167</v>
      </c>
      <c r="B27" s="258"/>
      <c r="C27" s="259">
        <v>97.3</v>
      </c>
      <c r="D27" s="259">
        <v>67.599999999999994</v>
      </c>
      <c r="E27" s="259"/>
      <c r="F27" s="260">
        <v>68</v>
      </c>
      <c r="G27" s="261">
        <f>68</f>
        <v>68</v>
      </c>
      <c r="H27" s="262"/>
      <c r="I27" s="4"/>
      <c r="J27" s="4"/>
      <c r="K27" s="4"/>
      <c r="L27" s="4"/>
      <c r="M27"/>
      <c r="N27" s="244"/>
      <c r="O27" s="117"/>
      <c r="P27" s="230" t="s">
        <v>105</v>
      </c>
    </row>
    <row r="28" spans="1:21" ht="13.5" thickBot="1" x14ac:dyDescent="0.25">
      <c r="A28" s="263" t="s">
        <v>172</v>
      </c>
      <c r="B28" s="264"/>
      <c r="C28" s="265">
        <f>C47/B47</f>
        <v>97.3</v>
      </c>
      <c r="D28" s="265">
        <f>D47/B47</f>
        <v>99.948499705824673</v>
      </c>
      <c r="E28" s="265" t="e">
        <f>E47/B47</f>
        <v>#REF!</v>
      </c>
      <c r="F28" s="266">
        <f>F47/B47</f>
        <v>96.835816565956094</v>
      </c>
      <c r="G28" s="266">
        <f>G47/B47</f>
        <v>97.238380074524414</v>
      </c>
      <c r="H28" s="267"/>
      <c r="I28" s="4"/>
      <c r="J28" s="4"/>
      <c r="K28" s="4"/>
      <c r="L28" s="4"/>
      <c r="M28"/>
      <c r="N28" s="450" t="s">
        <v>173</v>
      </c>
      <c r="O28" s="451"/>
      <c r="P28" s="452"/>
    </row>
    <row r="29" spans="1:21" x14ac:dyDescent="0.2">
      <c r="A29" s="371" t="s">
        <v>116</v>
      </c>
      <c r="B29" s="268">
        <f t="shared" ref="B29:B37" si="11">B6</f>
        <v>691</v>
      </c>
      <c r="C29" s="269">
        <f>B29*C$4</f>
        <v>67234.3</v>
      </c>
      <c r="D29" s="270">
        <f>B29*D$4</f>
        <v>46711.6</v>
      </c>
      <c r="E29" s="270">
        <f>D29</f>
        <v>46711.6</v>
      </c>
      <c r="F29" s="271">
        <f>B29*F$27-H29</f>
        <v>44987</v>
      </c>
      <c r="G29" s="372">
        <f>ROUND(F29,0)</f>
        <v>44987</v>
      </c>
      <c r="H29" s="262">
        <f t="shared" ref="H29:H37" si="12">H6</f>
        <v>2001</v>
      </c>
      <c r="I29" s="4"/>
      <c r="J29" s="4"/>
      <c r="K29" s="4"/>
      <c r="L29" s="4"/>
      <c r="M29"/>
      <c r="N29" s="361" t="s">
        <v>116</v>
      </c>
      <c r="O29" s="246">
        <f>SUM(G29+H29)</f>
        <v>46988</v>
      </c>
      <c r="P29" s="9">
        <v>2012</v>
      </c>
    </row>
    <row r="30" spans="1:21" x14ac:dyDescent="0.2">
      <c r="A30" s="362" t="s">
        <v>117</v>
      </c>
      <c r="B30" s="227">
        <f t="shared" si="11"/>
        <v>0</v>
      </c>
      <c r="C30" s="198">
        <f t="shared" ref="C30:C46" si="13">B30*C$4</f>
        <v>0</v>
      </c>
      <c r="D30" s="150">
        <f>B30*D$4</f>
        <v>0</v>
      </c>
      <c r="E30" s="150">
        <v>5069.6099999999997</v>
      </c>
      <c r="F30" s="222">
        <v>0</v>
      </c>
      <c r="G30" s="363">
        <f t="shared" ref="G30:G46" si="14">ROUND(F30,0)</f>
        <v>0</v>
      </c>
      <c r="H30" s="272">
        <f t="shared" si="12"/>
        <v>2736</v>
      </c>
      <c r="I30" s="4"/>
      <c r="J30" s="4"/>
      <c r="K30" s="4"/>
      <c r="L30" s="4"/>
      <c r="M30"/>
      <c r="N30" s="364" t="s">
        <v>117</v>
      </c>
      <c r="O30" s="246">
        <f t="shared" ref="O30:O46" si="15">SUM(G30+H30)</f>
        <v>2736</v>
      </c>
      <c r="P30" s="9">
        <v>2013</v>
      </c>
    </row>
    <row r="31" spans="1:21" x14ac:dyDescent="0.2">
      <c r="A31" s="365" t="s">
        <v>118</v>
      </c>
      <c r="B31" s="227">
        <f t="shared" si="11"/>
        <v>318</v>
      </c>
      <c r="C31" s="197">
        <f t="shared" si="13"/>
        <v>30941.399999999998</v>
      </c>
      <c r="D31" s="149">
        <f>B31*D$4</f>
        <v>21496.799999999999</v>
      </c>
      <c r="E31" s="149">
        <f>D31</f>
        <v>21496.799999999999</v>
      </c>
      <c r="F31" s="221">
        <f t="shared" ref="F31:F46" si="16">B31*F$27-H31</f>
        <v>20703</v>
      </c>
      <c r="G31" s="360">
        <f t="shared" si="14"/>
        <v>20703</v>
      </c>
      <c r="H31" s="272">
        <f t="shared" si="12"/>
        <v>921</v>
      </c>
      <c r="I31" s="4"/>
      <c r="J31" s="4"/>
      <c r="K31" s="4"/>
      <c r="L31" s="4"/>
      <c r="M31"/>
      <c r="N31" s="364" t="s">
        <v>118</v>
      </c>
      <c r="O31" s="246">
        <f t="shared" si="15"/>
        <v>21624</v>
      </c>
      <c r="P31" s="9">
        <v>2015</v>
      </c>
    </row>
    <row r="32" spans="1:21" x14ac:dyDescent="0.2">
      <c r="A32" s="365" t="s">
        <v>119</v>
      </c>
      <c r="B32" s="227">
        <f t="shared" si="11"/>
        <v>703</v>
      </c>
      <c r="C32" s="197">
        <f t="shared" si="13"/>
        <v>68401.899999999994</v>
      </c>
      <c r="D32" s="149">
        <f>B32*D$4</f>
        <v>47522.799999999996</v>
      </c>
      <c r="E32" s="149">
        <f t="shared" ref="E32:E39" si="17">D32</f>
        <v>47522.799999999996</v>
      </c>
      <c r="F32" s="221">
        <f t="shared" si="16"/>
        <v>45769</v>
      </c>
      <c r="G32" s="360">
        <f t="shared" si="14"/>
        <v>45769</v>
      </c>
      <c r="H32" s="272">
        <f t="shared" si="12"/>
        <v>2035</v>
      </c>
      <c r="I32" s="4"/>
      <c r="J32" s="4"/>
      <c r="K32" s="4"/>
      <c r="L32" s="4"/>
      <c r="M32"/>
      <c r="N32" s="364" t="s">
        <v>119</v>
      </c>
      <c r="O32" s="246">
        <f t="shared" si="15"/>
        <v>47804</v>
      </c>
      <c r="P32" s="9">
        <v>2017</v>
      </c>
    </row>
    <row r="33" spans="1:16" x14ac:dyDescent="0.2">
      <c r="A33" s="365" t="s">
        <v>120</v>
      </c>
      <c r="B33" s="227">
        <f t="shared" si="11"/>
        <v>558</v>
      </c>
      <c r="C33" s="197">
        <f t="shared" si="13"/>
        <v>54293.4</v>
      </c>
      <c r="D33" s="149">
        <f>B33*D$4</f>
        <v>37720.799999999996</v>
      </c>
      <c r="E33" s="149">
        <f t="shared" si="17"/>
        <v>37720.799999999996</v>
      </c>
      <c r="F33" s="221">
        <f t="shared" si="16"/>
        <v>36328</v>
      </c>
      <c r="G33" s="360">
        <f t="shared" si="14"/>
        <v>36328</v>
      </c>
      <c r="H33" s="272">
        <f t="shared" si="12"/>
        <v>1616</v>
      </c>
      <c r="I33" s="4"/>
      <c r="J33" s="4"/>
      <c r="K33" s="4"/>
      <c r="L33" s="4"/>
      <c r="M33"/>
      <c r="N33" s="364" t="s">
        <v>120</v>
      </c>
      <c r="O33" s="246">
        <f t="shared" si="15"/>
        <v>37944</v>
      </c>
      <c r="P33" s="9">
        <v>2019</v>
      </c>
    </row>
    <row r="34" spans="1:16" x14ac:dyDescent="0.2">
      <c r="A34" s="366" t="s">
        <v>121</v>
      </c>
      <c r="B34" s="227">
        <f t="shared" si="11"/>
        <v>7301</v>
      </c>
      <c r="C34" s="199">
        <f t="shared" si="13"/>
        <v>710387.29999999993</v>
      </c>
      <c r="D34" s="151">
        <v>1000000</v>
      </c>
      <c r="E34" s="151">
        <f t="shared" si="17"/>
        <v>1000000</v>
      </c>
      <c r="F34" s="255">
        <f>F11</f>
        <v>978861.31447243248</v>
      </c>
      <c r="G34" s="367">
        <f>G11</f>
        <v>978861</v>
      </c>
      <c r="H34" s="272">
        <f t="shared" si="12"/>
        <v>21141</v>
      </c>
      <c r="I34" s="4"/>
      <c r="J34" s="4"/>
      <c r="K34" s="4"/>
      <c r="L34" s="4"/>
      <c r="M34"/>
      <c r="N34" s="364" t="s">
        <v>121</v>
      </c>
      <c r="O34" s="246">
        <f t="shared" si="15"/>
        <v>1000002</v>
      </c>
      <c r="P34" s="9">
        <v>2003</v>
      </c>
    </row>
    <row r="35" spans="1:16" x14ac:dyDescent="0.2">
      <c r="A35" s="365" t="s">
        <v>122</v>
      </c>
      <c r="B35" s="227">
        <f t="shared" si="11"/>
        <v>443</v>
      </c>
      <c r="C35" s="197">
        <f t="shared" si="13"/>
        <v>43103.9</v>
      </c>
      <c r="D35" s="149">
        <f t="shared" ref="D35:D42" si="18">B35*D$4</f>
        <v>29946.799999999999</v>
      </c>
      <c r="E35" s="149">
        <f t="shared" si="17"/>
        <v>29946.799999999999</v>
      </c>
      <c r="F35" s="221">
        <f t="shared" si="16"/>
        <v>28841</v>
      </c>
      <c r="G35" s="360">
        <f t="shared" si="14"/>
        <v>28841</v>
      </c>
      <c r="H35" s="272">
        <f t="shared" si="12"/>
        <v>1283</v>
      </c>
      <c r="I35" s="4"/>
      <c r="J35" s="4"/>
      <c r="K35" s="4"/>
      <c r="L35" s="4"/>
      <c r="M35"/>
      <c r="N35" s="364" t="s">
        <v>122</v>
      </c>
      <c r="O35" s="246">
        <f t="shared" si="15"/>
        <v>30124</v>
      </c>
      <c r="P35" s="9">
        <v>2020</v>
      </c>
    </row>
    <row r="36" spans="1:16" x14ac:dyDescent="0.2">
      <c r="A36" s="365" t="s">
        <v>123</v>
      </c>
      <c r="B36" s="227">
        <f t="shared" si="11"/>
        <v>2699</v>
      </c>
      <c r="C36" s="197">
        <f t="shared" si="13"/>
        <v>262612.7</v>
      </c>
      <c r="D36" s="149">
        <f t="shared" si="18"/>
        <v>182452.4</v>
      </c>
      <c r="E36" s="149">
        <f t="shared" si="17"/>
        <v>182452.4</v>
      </c>
      <c r="F36" s="221">
        <f t="shared" si="16"/>
        <v>175718</v>
      </c>
      <c r="G36" s="360">
        <f t="shared" si="14"/>
        <v>175718</v>
      </c>
      <c r="H36" s="272">
        <f t="shared" si="12"/>
        <v>7814</v>
      </c>
      <c r="I36" s="4"/>
      <c r="J36" s="4"/>
      <c r="K36" s="4"/>
      <c r="L36" s="4"/>
      <c r="M36"/>
      <c r="N36" s="364" t="s">
        <v>123</v>
      </c>
      <c r="O36" s="246">
        <f t="shared" si="15"/>
        <v>183532</v>
      </c>
      <c r="P36" s="9">
        <v>2004</v>
      </c>
    </row>
    <row r="37" spans="1:16" x14ac:dyDescent="0.2">
      <c r="A37" s="365" t="s">
        <v>124</v>
      </c>
      <c r="B37" s="227">
        <f t="shared" si="11"/>
        <v>266</v>
      </c>
      <c r="C37" s="197">
        <f t="shared" si="13"/>
        <v>25881.8</v>
      </c>
      <c r="D37" s="149">
        <f t="shared" si="18"/>
        <v>17981.599999999999</v>
      </c>
      <c r="E37" s="149">
        <f t="shared" si="17"/>
        <v>17981.599999999999</v>
      </c>
      <c r="F37" s="221">
        <f t="shared" si="16"/>
        <v>17318</v>
      </c>
      <c r="G37" s="360">
        <f t="shared" si="14"/>
        <v>17318</v>
      </c>
      <c r="H37" s="272">
        <f t="shared" si="12"/>
        <v>770</v>
      </c>
      <c r="I37" s="4"/>
      <c r="J37" s="4"/>
      <c r="K37" s="4"/>
      <c r="L37" s="4"/>
      <c r="M37"/>
      <c r="N37" s="364" t="s">
        <v>124</v>
      </c>
      <c r="O37" s="246">
        <f t="shared" si="15"/>
        <v>18088</v>
      </c>
      <c r="P37" s="9">
        <v>2021</v>
      </c>
    </row>
    <row r="38" spans="1:16" x14ac:dyDescent="0.2">
      <c r="A38" s="365" t="s">
        <v>125</v>
      </c>
      <c r="B38" s="227">
        <f t="shared" ref="B38:B46" si="19">B15</f>
        <v>227</v>
      </c>
      <c r="C38" s="197">
        <f t="shared" si="13"/>
        <v>22087.1</v>
      </c>
      <c r="D38" s="149">
        <f t="shared" si="18"/>
        <v>15345.199999999999</v>
      </c>
      <c r="E38" s="149">
        <f t="shared" si="17"/>
        <v>15345.199999999999</v>
      </c>
      <c r="F38" s="221">
        <f t="shared" si="16"/>
        <v>14779</v>
      </c>
      <c r="G38" s="360">
        <f t="shared" si="14"/>
        <v>14779</v>
      </c>
      <c r="H38" s="272">
        <f t="shared" ref="H38:H46" si="20">H15</f>
        <v>657</v>
      </c>
      <c r="I38" s="4"/>
      <c r="J38" s="4"/>
      <c r="K38" s="4"/>
      <c r="L38" s="4"/>
      <c r="M38"/>
      <c r="N38" s="364" t="s">
        <v>125</v>
      </c>
      <c r="O38" s="246">
        <f t="shared" si="15"/>
        <v>15436</v>
      </c>
      <c r="P38" s="9">
        <v>2023</v>
      </c>
    </row>
    <row r="39" spans="1:16" x14ac:dyDescent="0.2">
      <c r="A39" s="365" t="s">
        <v>126</v>
      </c>
      <c r="B39" s="227">
        <f t="shared" si="19"/>
        <v>644</v>
      </c>
      <c r="C39" s="197">
        <f t="shared" si="13"/>
        <v>62661.2</v>
      </c>
      <c r="D39" s="149">
        <f t="shared" si="18"/>
        <v>43534.399999999994</v>
      </c>
      <c r="E39" s="149">
        <f t="shared" si="17"/>
        <v>43534.399999999994</v>
      </c>
      <c r="F39" s="221">
        <f t="shared" si="16"/>
        <v>41927</v>
      </c>
      <c r="G39" s="360">
        <f t="shared" si="14"/>
        <v>41927</v>
      </c>
      <c r="H39" s="272">
        <f t="shared" si="20"/>
        <v>1865</v>
      </c>
      <c r="I39" s="4"/>
      <c r="J39" s="4"/>
      <c r="K39" s="4"/>
      <c r="L39" s="4"/>
      <c r="M39"/>
      <c r="N39" s="364" t="s">
        <v>126</v>
      </c>
      <c r="O39" s="246">
        <f t="shared" si="15"/>
        <v>43792</v>
      </c>
      <c r="P39" s="9">
        <v>2027</v>
      </c>
    </row>
    <row r="40" spans="1:16" x14ac:dyDescent="0.2">
      <c r="A40" s="365" t="s">
        <v>127</v>
      </c>
      <c r="B40" s="227">
        <f t="shared" si="19"/>
        <v>482</v>
      </c>
      <c r="C40" s="197">
        <f t="shared" si="13"/>
        <v>46898.6</v>
      </c>
      <c r="D40" s="149">
        <f t="shared" si="18"/>
        <v>32583.199999999997</v>
      </c>
      <c r="E40" s="149" t="e">
        <f>'[1]dotace bez Bul., Rasp.'!P47/'[1]přepočet na obce'!B52*'[1]přepočet na obce'!B38</f>
        <v>#REF!</v>
      </c>
      <c r="F40" s="221">
        <f t="shared" si="16"/>
        <v>31380</v>
      </c>
      <c r="G40" s="360">
        <f t="shared" si="14"/>
        <v>31380</v>
      </c>
      <c r="H40" s="272">
        <f t="shared" si="20"/>
        <v>1396</v>
      </c>
      <c r="I40" s="4"/>
      <c r="J40" s="4"/>
      <c r="K40" s="4"/>
      <c r="L40" s="4"/>
      <c r="M40"/>
      <c r="N40" s="364" t="s">
        <v>127</v>
      </c>
      <c r="O40" s="246">
        <f t="shared" si="15"/>
        <v>32776</v>
      </c>
      <c r="P40" s="9">
        <v>2029</v>
      </c>
    </row>
    <row r="41" spans="1:16" x14ac:dyDescent="0.2">
      <c r="A41" s="365" t="s">
        <v>128</v>
      </c>
      <c r="B41" s="227">
        <f t="shared" si="19"/>
        <v>360</v>
      </c>
      <c r="C41" s="197">
        <f t="shared" si="13"/>
        <v>35028</v>
      </c>
      <c r="D41" s="149">
        <f t="shared" si="18"/>
        <v>24335.999999999996</v>
      </c>
      <c r="E41" s="149">
        <f t="shared" ref="E41:E42" si="21">D41</f>
        <v>24335.999999999996</v>
      </c>
      <c r="F41" s="221">
        <f t="shared" si="16"/>
        <v>23438</v>
      </c>
      <c r="G41" s="360">
        <f t="shared" si="14"/>
        <v>23438</v>
      </c>
      <c r="H41" s="272">
        <f t="shared" si="20"/>
        <v>1042</v>
      </c>
      <c r="I41" s="4"/>
      <c r="J41" s="4"/>
      <c r="K41" s="4"/>
      <c r="L41" s="4"/>
      <c r="M41"/>
      <c r="N41" s="364" t="s">
        <v>128</v>
      </c>
      <c r="O41" s="246">
        <f t="shared" si="15"/>
        <v>24480</v>
      </c>
      <c r="P41" s="9">
        <v>2032</v>
      </c>
    </row>
    <row r="42" spans="1:16" x14ac:dyDescent="0.2">
      <c r="A42" s="365" t="s">
        <v>129</v>
      </c>
      <c r="B42" s="227">
        <f t="shared" si="19"/>
        <v>446</v>
      </c>
      <c r="C42" s="197">
        <f t="shared" si="13"/>
        <v>43395.799999999996</v>
      </c>
      <c r="D42" s="149">
        <f t="shared" si="18"/>
        <v>30149.599999999999</v>
      </c>
      <c r="E42" s="149">
        <f t="shared" si="21"/>
        <v>30149.599999999999</v>
      </c>
      <c r="F42" s="221">
        <f t="shared" si="16"/>
        <v>29037</v>
      </c>
      <c r="G42" s="360">
        <f t="shared" si="14"/>
        <v>29037</v>
      </c>
      <c r="H42" s="272">
        <f t="shared" si="20"/>
        <v>1291</v>
      </c>
      <c r="I42" s="4"/>
      <c r="J42" s="4"/>
      <c r="K42" s="4"/>
      <c r="L42" s="4"/>
      <c r="M42"/>
      <c r="N42" s="364" t="s">
        <v>129</v>
      </c>
      <c r="O42" s="246">
        <f t="shared" si="15"/>
        <v>30328</v>
      </c>
      <c r="P42" s="9">
        <v>2033</v>
      </c>
    </row>
    <row r="43" spans="1:16" x14ac:dyDescent="0.2">
      <c r="A43" s="366" t="s">
        <v>130</v>
      </c>
      <c r="B43" s="227">
        <f t="shared" si="19"/>
        <v>3649</v>
      </c>
      <c r="C43" s="199">
        <f t="shared" si="13"/>
        <v>355047.7</v>
      </c>
      <c r="D43" s="151">
        <v>400000</v>
      </c>
      <c r="E43" s="151">
        <v>400000</v>
      </c>
      <c r="F43" s="255">
        <f>F20</f>
        <v>389435.00020680815</v>
      </c>
      <c r="G43" s="367">
        <f>G20</f>
        <v>389435</v>
      </c>
      <c r="H43" s="272">
        <f t="shared" si="20"/>
        <v>10565</v>
      </c>
      <c r="I43" s="4"/>
      <c r="J43" s="4"/>
      <c r="K43" s="4"/>
      <c r="L43" s="4"/>
      <c r="M43"/>
      <c r="N43" s="364" t="s">
        <v>130</v>
      </c>
      <c r="O43" s="246">
        <f t="shared" si="15"/>
        <v>400000</v>
      </c>
      <c r="P43" s="9">
        <v>2008</v>
      </c>
    </row>
    <row r="44" spans="1:16" x14ac:dyDescent="0.2">
      <c r="A44" s="365" t="s">
        <v>131</v>
      </c>
      <c r="B44" s="227">
        <f t="shared" si="19"/>
        <v>286</v>
      </c>
      <c r="C44" s="197">
        <f t="shared" si="13"/>
        <v>27827.8</v>
      </c>
      <c r="D44" s="149">
        <f>B44*D$4</f>
        <v>19333.599999999999</v>
      </c>
      <c r="E44" s="149">
        <f t="shared" ref="E44" si="22">D44</f>
        <v>19333.599999999999</v>
      </c>
      <c r="F44" s="221">
        <f t="shared" si="16"/>
        <v>18620</v>
      </c>
      <c r="G44" s="360">
        <f t="shared" si="14"/>
        <v>18620</v>
      </c>
      <c r="H44" s="272">
        <f t="shared" si="20"/>
        <v>828</v>
      </c>
      <c r="I44" s="4"/>
      <c r="J44" s="4"/>
      <c r="K44" s="4"/>
      <c r="L44" s="4"/>
      <c r="M44"/>
      <c r="N44" s="364" t="s">
        <v>131</v>
      </c>
      <c r="O44" s="246">
        <f t="shared" si="15"/>
        <v>19448</v>
      </c>
      <c r="P44" s="9">
        <v>2041</v>
      </c>
    </row>
    <row r="45" spans="1:16" x14ac:dyDescent="0.2">
      <c r="A45" s="362" t="s">
        <v>137</v>
      </c>
      <c r="B45" s="227">
        <v>0</v>
      </c>
      <c r="C45" s="200">
        <f t="shared" si="13"/>
        <v>0</v>
      </c>
      <c r="D45" s="152">
        <f>B45*D$4</f>
        <v>0</v>
      </c>
      <c r="E45" s="152">
        <v>15491.39</v>
      </c>
      <c r="F45" s="368">
        <f t="shared" si="16"/>
        <v>-8211</v>
      </c>
      <c r="G45" s="368">
        <v>0</v>
      </c>
      <c r="H45" s="272">
        <f t="shared" si="20"/>
        <v>8211</v>
      </c>
      <c r="I45" s="4"/>
      <c r="J45" s="4"/>
      <c r="K45" s="4"/>
      <c r="L45" s="4"/>
      <c r="M45"/>
      <c r="N45" s="364" t="s">
        <v>137</v>
      </c>
      <c r="O45" s="246">
        <f t="shared" si="15"/>
        <v>8211</v>
      </c>
      <c r="P45" s="9">
        <v>2009</v>
      </c>
    </row>
    <row r="46" spans="1:16" ht="13.5" thickBot="1" x14ac:dyDescent="0.25">
      <c r="A46" s="369" t="s">
        <v>133</v>
      </c>
      <c r="B46" s="273">
        <f t="shared" si="19"/>
        <v>1323</v>
      </c>
      <c r="C46" s="274">
        <f t="shared" si="13"/>
        <v>128727.9</v>
      </c>
      <c r="D46" s="275">
        <f>B46*D$4</f>
        <v>89434.799999999988</v>
      </c>
      <c r="E46" s="275">
        <f t="shared" ref="E46" si="23">D46</f>
        <v>89434.799999999988</v>
      </c>
      <c r="F46" s="276">
        <f t="shared" si="16"/>
        <v>86133</v>
      </c>
      <c r="G46" s="373">
        <f t="shared" si="14"/>
        <v>86133</v>
      </c>
      <c r="H46" s="267">
        <f t="shared" si="20"/>
        <v>3831</v>
      </c>
      <c r="I46" s="4"/>
      <c r="J46" s="4"/>
      <c r="K46" s="4"/>
      <c r="L46" s="4"/>
      <c r="M46"/>
      <c r="N46" s="370" t="s">
        <v>133</v>
      </c>
      <c r="O46" s="246">
        <f t="shared" si="15"/>
        <v>89964</v>
      </c>
      <c r="P46" s="9">
        <v>2053</v>
      </c>
    </row>
    <row r="47" spans="1:16" ht="13.5" thickBot="1" x14ac:dyDescent="0.25">
      <c r="A47" s="277" t="s">
        <v>170</v>
      </c>
      <c r="B47" s="278">
        <f t="shared" ref="B47:F47" si="24">SUM(B29:B46)</f>
        <v>20396</v>
      </c>
      <c r="C47" s="279">
        <f t="shared" si="24"/>
        <v>1984530.8</v>
      </c>
      <c r="D47" s="279">
        <f t="shared" si="24"/>
        <v>2038549.6</v>
      </c>
      <c r="E47" s="279" t="e">
        <f t="shared" si="24"/>
        <v>#REF!</v>
      </c>
      <c r="F47" s="280">
        <f t="shared" si="24"/>
        <v>1975063.3146792406</v>
      </c>
      <c r="G47" s="281">
        <f>SUM(G29:G46)</f>
        <v>1983274</v>
      </c>
      <c r="H47" s="282">
        <f>SUM(H29:H46)</f>
        <v>70003</v>
      </c>
      <c r="I47" s="4"/>
      <c r="J47" s="4"/>
      <c r="K47" s="4"/>
      <c r="L47" s="4"/>
      <c r="M47"/>
      <c r="N47" s="244"/>
      <c r="O47" s="245">
        <f>SUM(O29:O46)</f>
        <v>2053277</v>
      </c>
      <c r="P47" s="9"/>
    </row>
    <row r="48" spans="1:16" x14ac:dyDescent="0.2">
      <c r="M48"/>
    </row>
    <row r="49" spans="13:13" x14ac:dyDescent="0.2">
      <c r="M49"/>
    </row>
    <row r="50" spans="13:13" x14ac:dyDescent="0.2">
      <c r="M50"/>
    </row>
    <row r="51" spans="13:13" x14ac:dyDescent="0.2">
      <c r="M51"/>
    </row>
  </sheetData>
  <mergeCells count="2">
    <mergeCell ref="N5:P5"/>
    <mergeCell ref="N28:P28"/>
  </mergeCells>
  <pageMargins left="0.25" right="0.25" top="0.75" bottom="0.75" header="0.3" footer="0.3"/>
  <pageSetup paperSize="9" scale="5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H30"/>
  <sheetViews>
    <sheetView topLeftCell="A4" workbookViewId="0">
      <selection activeCell="A28" sqref="A28"/>
    </sheetView>
  </sheetViews>
  <sheetFormatPr defaultRowHeight="12.75" x14ac:dyDescent="0.2"/>
  <cols>
    <col min="1" max="1" width="12" customWidth="1"/>
    <col min="2" max="2" width="24.5703125" customWidth="1"/>
    <col min="3" max="3" width="15.28515625" customWidth="1"/>
    <col min="4" max="4" width="9.5703125" style="1" hidden="1" customWidth="1"/>
    <col min="5" max="5" width="16.7109375" hidden="1" customWidth="1"/>
    <col min="6" max="6" width="17.28515625" customWidth="1"/>
    <col min="7" max="7" width="9.7109375" customWidth="1"/>
    <col min="8" max="8" width="13" customWidth="1"/>
    <col min="10" max="10" width="9.5703125" bestFit="1" customWidth="1"/>
    <col min="11" max="11" width="16.85546875" customWidth="1"/>
  </cols>
  <sheetData>
    <row r="1" spans="1:7" ht="15.75" x14ac:dyDescent="0.25">
      <c r="B1" s="65" t="s">
        <v>174</v>
      </c>
      <c r="D1" s="4"/>
    </row>
    <row r="2" spans="1:7" x14ac:dyDescent="0.2">
      <c r="B2" s="154" t="s">
        <v>175</v>
      </c>
      <c r="D2" s="4"/>
    </row>
    <row r="3" spans="1:7" ht="13.5" thickBot="1" x14ac:dyDescent="0.25">
      <c r="A3" s="66"/>
      <c r="C3" s="59"/>
      <c r="D3" s="59"/>
      <c r="F3" s="374" t="s">
        <v>176</v>
      </c>
    </row>
    <row r="4" spans="1:7" ht="39" thickBot="1" x14ac:dyDescent="0.25">
      <c r="A4" s="24"/>
      <c r="B4" s="25" t="s">
        <v>106</v>
      </c>
      <c r="C4" s="74" t="str">
        <f>'č. 1 čl. přísp.'!D3</f>
        <v>počet obyvatel k 1. 1. 2022 dle MF</v>
      </c>
      <c r="D4" s="194">
        <f>F24/C24</f>
        <v>2.333994631812347</v>
      </c>
      <c r="E4" s="68">
        <v>40000</v>
      </c>
      <c r="F4" s="236" t="s">
        <v>177</v>
      </c>
    </row>
    <row r="5" spans="1:7" ht="5.25" customHeight="1" x14ac:dyDescent="0.2">
      <c r="A5" s="46"/>
      <c r="B5" s="47"/>
      <c r="C5" s="75"/>
      <c r="D5" s="47"/>
      <c r="E5" s="67"/>
      <c r="F5" s="235"/>
    </row>
    <row r="6" spans="1:7" x14ac:dyDescent="0.2">
      <c r="A6" s="83">
        <v>1</v>
      </c>
      <c r="B6" s="84" t="s">
        <v>116</v>
      </c>
      <c r="C6" s="227"/>
      <c r="D6" s="375">
        <f>D$4</f>
        <v>2.333994631812347</v>
      </c>
      <c r="E6" s="376">
        <f>SUM(C6*D6)</f>
        <v>0</v>
      </c>
      <c r="F6" s="85"/>
      <c r="G6" t="s">
        <v>178</v>
      </c>
    </row>
    <row r="7" spans="1:7" x14ac:dyDescent="0.2">
      <c r="A7" s="7">
        <v>2</v>
      </c>
      <c r="B7" s="9" t="s">
        <v>117</v>
      </c>
      <c r="C7" s="227">
        <f>'Sumář všech příspěvků rok 2023'!H30</f>
        <v>945</v>
      </c>
      <c r="D7" s="377">
        <f t="shared" ref="D7:D23" si="0">D$4</f>
        <v>2.333994631812347</v>
      </c>
      <c r="E7" s="353">
        <f>SUM(C7*D7)</f>
        <v>2205.6249270626681</v>
      </c>
      <c r="F7" s="70">
        <f t="shared" ref="F7:F12" si="1">ROUND($E$4/$C$24*C7,0)</f>
        <v>2206</v>
      </c>
    </row>
    <row r="8" spans="1:7" x14ac:dyDescent="0.2">
      <c r="A8" s="32">
        <v>3</v>
      </c>
      <c r="B8" s="33" t="s">
        <v>118</v>
      </c>
      <c r="C8" s="227">
        <f>'Sumář všech příspěvků rok 2023'!H31</f>
        <v>318</v>
      </c>
      <c r="D8" s="378">
        <f t="shared" si="0"/>
        <v>2.333994631812347</v>
      </c>
      <c r="E8" s="379">
        <f>SUM(C8*D8)</f>
        <v>742.21029291632635</v>
      </c>
      <c r="F8" s="72">
        <f t="shared" si="1"/>
        <v>742</v>
      </c>
    </row>
    <row r="9" spans="1:7" x14ac:dyDescent="0.2">
      <c r="A9" s="7">
        <v>4</v>
      </c>
      <c r="B9" s="9" t="s">
        <v>119</v>
      </c>
      <c r="C9" s="227">
        <f>'Sumář všech příspěvků rok 2023'!H32</f>
        <v>703</v>
      </c>
      <c r="D9" s="377">
        <f t="shared" si="0"/>
        <v>2.333994631812347</v>
      </c>
      <c r="E9" s="353">
        <f t="shared" ref="E9:E23" si="2">SUM(C9*D9)</f>
        <v>1640.79822616408</v>
      </c>
      <c r="F9" s="70">
        <f t="shared" si="1"/>
        <v>1641</v>
      </c>
    </row>
    <row r="10" spans="1:7" x14ac:dyDescent="0.2">
      <c r="A10" s="32">
        <v>5</v>
      </c>
      <c r="B10" s="33" t="s">
        <v>120</v>
      </c>
      <c r="C10" s="227">
        <f>'Sumář všech příspěvků rok 2023'!H33</f>
        <v>558</v>
      </c>
      <c r="D10" s="378">
        <f t="shared" si="0"/>
        <v>2.333994631812347</v>
      </c>
      <c r="E10" s="379">
        <f t="shared" si="2"/>
        <v>1302.3690045512897</v>
      </c>
      <c r="F10" s="72">
        <f t="shared" si="1"/>
        <v>1302</v>
      </c>
    </row>
    <row r="11" spans="1:7" x14ac:dyDescent="0.2">
      <c r="A11" s="7">
        <v>6</v>
      </c>
      <c r="B11" s="9" t="s">
        <v>121</v>
      </c>
      <c r="C11" s="227">
        <f>'Sumář všech příspěvků rok 2023'!H34</f>
        <v>7301</v>
      </c>
      <c r="D11" s="377">
        <f t="shared" si="0"/>
        <v>2.333994631812347</v>
      </c>
      <c r="E11" s="353">
        <f t="shared" si="2"/>
        <v>17040.494806861945</v>
      </c>
      <c r="F11" s="70">
        <f t="shared" si="1"/>
        <v>17040</v>
      </c>
    </row>
    <row r="12" spans="1:7" x14ac:dyDescent="0.2">
      <c r="A12" s="32">
        <v>7</v>
      </c>
      <c r="B12" s="33" t="s">
        <v>122</v>
      </c>
      <c r="C12" s="227">
        <f>'Sumář všech příspěvků rok 2023'!H35</f>
        <v>443</v>
      </c>
      <c r="D12" s="378">
        <f t="shared" si="0"/>
        <v>2.333994631812347</v>
      </c>
      <c r="E12" s="379">
        <f t="shared" si="2"/>
        <v>1033.9596218928698</v>
      </c>
      <c r="F12" s="72">
        <f t="shared" si="1"/>
        <v>1034</v>
      </c>
    </row>
    <row r="13" spans="1:7" x14ac:dyDescent="0.2">
      <c r="A13" s="83">
        <v>8</v>
      </c>
      <c r="B13" s="84" t="s">
        <v>123</v>
      </c>
      <c r="C13" s="227"/>
      <c r="D13" s="375">
        <f t="shared" si="0"/>
        <v>2.333994631812347</v>
      </c>
      <c r="E13" s="376">
        <f t="shared" si="2"/>
        <v>0</v>
      </c>
      <c r="F13" s="85"/>
      <c r="G13" t="s">
        <v>178</v>
      </c>
    </row>
    <row r="14" spans="1:7" x14ac:dyDescent="0.2">
      <c r="A14" s="32">
        <v>9</v>
      </c>
      <c r="B14" s="33" t="s">
        <v>124</v>
      </c>
      <c r="C14" s="227">
        <f>'Sumář všech příspěvků rok 2023'!H37</f>
        <v>266</v>
      </c>
      <c r="D14" s="378">
        <f t="shared" si="0"/>
        <v>2.333994631812347</v>
      </c>
      <c r="E14" s="379">
        <f t="shared" si="2"/>
        <v>620.84257206208429</v>
      </c>
      <c r="F14" s="72">
        <f t="shared" ref="F14:F23" si="3">ROUND($E$4/$C$24*C14,0)</f>
        <v>621</v>
      </c>
    </row>
    <row r="15" spans="1:7" x14ac:dyDescent="0.2">
      <c r="A15" s="7">
        <v>10</v>
      </c>
      <c r="B15" s="9" t="s">
        <v>125</v>
      </c>
      <c r="C15" s="227">
        <f>'Sumář všech příspěvků rok 2023'!H38</f>
        <v>227</v>
      </c>
      <c r="D15" s="377">
        <f t="shared" si="0"/>
        <v>2.333994631812347</v>
      </c>
      <c r="E15" s="353">
        <f t="shared" si="2"/>
        <v>529.81678142140277</v>
      </c>
      <c r="F15" s="70">
        <f t="shared" si="3"/>
        <v>530</v>
      </c>
    </row>
    <row r="16" spans="1:7" x14ac:dyDescent="0.2">
      <c r="A16" s="32">
        <v>11</v>
      </c>
      <c r="B16" s="33" t="s">
        <v>126</v>
      </c>
      <c r="C16" s="227">
        <f>'Sumář všech příspěvků rok 2023'!H39</f>
        <v>644</v>
      </c>
      <c r="D16" s="378">
        <f t="shared" si="0"/>
        <v>2.333994631812347</v>
      </c>
      <c r="E16" s="379">
        <f t="shared" si="2"/>
        <v>1503.0925428871515</v>
      </c>
      <c r="F16" s="72">
        <f t="shared" si="3"/>
        <v>1503</v>
      </c>
    </row>
    <row r="17" spans="1:8" x14ac:dyDescent="0.2">
      <c r="A17" s="7">
        <v>12</v>
      </c>
      <c r="B17" s="9" t="s">
        <v>127</v>
      </c>
      <c r="C17" s="227">
        <f>'Sumář všech příspěvků rok 2023'!H40</f>
        <v>482</v>
      </c>
      <c r="D17" s="377">
        <f t="shared" si="0"/>
        <v>2.333994631812347</v>
      </c>
      <c r="E17" s="353">
        <f t="shared" si="2"/>
        <v>1124.9854125335512</v>
      </c>
      <c r="F17" s="70">
        <f t="shared" si="3"/>
        <v>1125</v>
      </c>
    </row>
    <row r="18" spans="1:8" x14ac:dyDescent="0.2">
      <c r="A18" s="32">
        <v>13</v>
      </c>
      <c r="B18" s="33" t="s">
        <v>128</v>
      </c>
      <c r="C18" s="227">
        <f>'Sumář všech příspěvků rok 2023'!H41</f>
        <v>360</v>
      </c>
      <c r="D18" s="378">
        <f t="shared" si="0"/>
        <v>2.333994631812347</v>
      </c>
      <c r="E18" s="379">
        <f t="shared" si="2"/>
        <v>840.23806745244497</v>
      </c>
      <c r="F18" s="72">
        <f t="shared" si="3"/>
        <v>840</v>
      </c>
    </row>
    <row r="19" spans="1:8" x14ac:dyDescent="0.2">
      <c r="A19" s="7">
        <v>14</v>
      </c>
      <c r="B19" s="9" t="s">
        <v>129</v>
      </c>
      <c r="C19" s="227">
        <f>'Sumář všech příspěvků rok 2023'!H42</f>
        <v>446</v>
      </c>
      <c r="D19" s="377">
        <f t="shared" si="0"/>
        <v>2.333994631812347</v>
      </c>
      <c r="E19" s="353">
        <f t="shared" si="2"/>
        <v>1040.9616057883068</v>
      </c>
      <c r="F19" s="70">
        <f t="shared" si="3"/>
        <v>1041</v>
      </c>
    </row>
    <row r="20" spans="1:8" x14ac:dyDescent="0.2">
      <c r="A20" s="83">
        <v>15</v>
      </c>
      <c r="B20" s="84" t="s">
        <v>130</v>
      </c>
      <c r="C20" s="227"/>
      <c r="D20" s="375">
        <f t="shared" si="0"/>
        <v>2.333994631812347</v>
      </c>
      <c r="E20" s="376">
        <f t="shared" si="2"/>
        <v>0</v>
      </c>
      <c r="F20" s="85">
        <f t="shared" si="3"/>
        <v>0</v>
      </c>
      <c r="G20" t="s">
        <v>178</v>
      </c>
    </row>
    <row r="21" spans="1:8" x14ac:dyDescent="0.2">
      <c r="A21" s="7">
        <v>16</v>
      </c>
      <c r="B21" s="9" t="s">
        <v>131</v>
      </c>
      <c r="C21" s="227">
        <f>'Sumář všech příspěvků rok 2023'!H44</f>
        <v>286</v>
      </c>
      <c r="D21" s="377">
        <f t="shared" si="0"/>
        <v>2.333994631812347</v>
      </c>
      <c r="E21" s="353">
        <f t="shared" si="2"/>
        <v>667.52246469833119</v>
      </c>
      <c r="F21" s="70">
        <f t="shared" si="3"/>
        <v>668</v>
      </c>
    </row>
    <row r="22" spans="1:8" x14ac:dyDescent="0.2">
      <c r="A22" s="32">
        <v>17</v>
      </c>
      <c r="B22" s="33" t="s">
        <v>137</v>
      </c>
      <c r="C22" s="227">
        <f>'Sumář všech příspěvků rok 2023'!H45</f>
        <v>2836</v>
      </c>
      <c r="D22" s="378">
        <f t="shared" si="0"/>
        <v>2.333994631812347</v>
      </c>
      <c r="E22" s="379">
        <f t="shared" si="2"/>
        <v>6619.2087758198159</v>
      </c>
      <c r="F22" s="72">
        <f t="shared" si="3"/>
        <v>6619</v>
      </c>
    </row>
    <row r="23" spans="1:8" ht="13.5" thickBot="1" x14ac:dyDescent="0.25">
      <c r="A23" s="19">
        <v>18</v>
      </c>
      <c r="B23" s="9" t="s">
        <v>133</v>
      </c>
      <c r="C23" s="227">
        <f>'Sumář všech příspěvků rok 2023'!H46</f>
        <v>1323</v>
      </c>
      <c r="D23" s="377">
        <f t="shared" si="0"/>
        <v>2.333994631812347</v>
      </c>
      <c r="E23" s="355">
        <f t="shared" si="2"/>
        <v>3087.8748978877352</v>
      </c>
      <c r="F23" s="70">
        <f t="shared" si="3"/>
        <v>3088</v>
      </c>
    </row>
    <row r="24" spans="1:8" ht="13.5" thickBot="1" x14ac:dyDescent="0.25">
      <c r="A24" s="20"/>
      <c r="B24" s="21"/>
      <c r="C24" s="41">
        <f>SUM(C6:C23)</f>
        <v>17138</v>
      </c>
      <c r="D24" s="21"/>
      <c r="E24" s="357">
        <f>SUM(E6:E23)</f>
        <v>40000</v>
      </c>
      <c r="F24" s="69">
        <f>SUM(F7:F23)</f>
        <v>40000</v>
      </c>
      <c r="H24" s="6"/>
    </row>
    <row r="26" spans="1:8" x14ac:dyDescent="0.2">
      <c r="A26" s="195" t="s">
        <v>179</v>
      </c>
    </row>
    <row r="27" spans="1:8" x14ac:dyDescent="0.2">
      <c r="A27" s="195" t="s">
        <v>180</v>
      </c>
    </row>
    <row r="28" spans="1:8" ht="14.25" x14ac:dyDescent="0.2">
      <c r="A28" s="251" t="s">
        <v>143</v>
      </c>
      <c r="D28"/>
    </row>
    <row r="29" spans="1:8" ht="14.25" customHeight="1" x14ac:dyDescent="0.2">
      <c r="A29" s="201">
        <v>44844</v>
      </c>
      <c r="D29"/>
    </row>
    <row r="30" spans="1:8" x14ac:dyDescent="0.2">
      <c r="D30"/>
    </row>
  </sheetData>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F29"/>
  <sheetViews>
    <sheetView workbookViewId="0">
      <selection activeCell="A28" sqref="A28"/>
    </sheetView>
  </sheetViews>
  <sheetFormatPr defaultRowHeight="12.75" x14ac:dyDescent="0.2"/>
  <cols>
    <col min="1" max="1" width="26.85546875" customWidth="1"/>
    <col min="2" max="2" width="15.140625" customWidth="1"/>
    <col min="3" max="3" width="16.85546875" customWidth="1"/>
    <col min="4" max="4" width="13" customWidth="1"/>
    <col min="7" max="7" width="23" bestFit="1" customWidth="1"/>
    <col min="8" max="8" width="16.85546875" bestFit="1" customWidth="1"/>
    <col min="9" max="9" width="14" customWidth="1"/>
  </cols>
  <sheetData>
    <row r="1" spans="1:5" ht="15" x14ac:dyDescent="0.25">
      <c r="A1" s="52" t="s">
        <v>181</v>
      </c>
      <c r="B1" s="52"/>
    </row>
    <row r="2" spans="1:5" x14ac:dyDescent="0.2">
      <c r="A2" s="453"/>
      <c r="B2" s="423"/>
      <c r="C2" s="423"/>
      <c r="D2" s="423"/>
      <c r="E2" s="423"/>
    </row>
    <row r="3" spans="1:5" ht="13.5" thickBot="1" x14ac:dyDescent="0.25">
      <c r="A3" s="5"/>
      <c r="D3" s="283" t="s">
        <v>182</v>
      </c>
    </row>
    <row r="4" spans="1:5" ht="42.75" customHeight="1" thickBot="1" x14ac:dyDescent="0.25">
      <c r="A4" s="61" t="s">
        <v>183</v>
      </c>
      <c r="B4" s="121" t="str">
        <f>'č. 3 příspěvek OSA'!C4</f>
        <v>počet obyvatel k 1. 1. 2022 dle MF</v>
      </c>
      <c r="C4" s="380"/>
      <c r="D4" s="381" t="s">
        <v>184</v>
      </c>
    </row>
    <row r="5" spans="1:5" x14ac:dyDescent="0.2">
      <c r="A5" s="173" t="s">
        <v>116</v>
      </c>
      <c r="B5" s="233">
        <f>'Sumář všech příspěvků rok 2023'!H29</f>
        <v>691</v>
      </c>
      <c r="C5" s="351">
        <f>B5*D$24</f>
        <v>2000.6617859949538</v>
      </c>
      <c r="D5" s="351">
        <f>ROUND(C5,0)</f>
        <v>2001</v>
      </c>
    </row>
    <row r="6" spans="1:5" x14ac:dyDescent="0.2">
      <c r="A6" s="174" t="s">
        <v>117</v>
      </c>
      <c r="B6" s="234">
        <f>'Sumář všech příspěvků rok 2023'!H30</f>
        <v>945</v>
      </c>
      <c r="C6" s="344">
        <f t="shared" ref="C6:C22" si="0">B6*D$24</f>
        <v>2736.071472887455</v>
      </c>
      <c r="D6" s="344">
        <f t="shared" ref="D6:D22" si="1">ROUND(C6,0)</f>
        <v>2736</v>
      </c>
    </row>
    <row r="7" spans="1:5" x14ac:dyDescent="0.2">
      <c r="A7" s="173" t="s">
        <v>118</v>
      </c>
      <c r="B7" s="233">
        <f>'Sumář všech příspěvků rok 2023'!H31</f>
        <v>318</v>
      </c>
      <c r="C7" s="351">
        <f t="shared" si="0"/>
        <v>920.70976547958799</v>
      </c>
      <c r="D7" s="351">
        <f t="shared" si="1"/>
        <v>921</v>
      </c>
    </row>
    <row r="8" spans="1:5" x14ac:dyDescent="0.2">
      <c r="A8" s="174" t="s">
        <v>119</v>
      </c>
      <c r="B8" s="234">
        <f>'Sumář všech příspěvků rok 2023'!H32</f>
        <v>703</v>
      </c>
      <c r="C8" s="344">
        <f t="shared" si="0"/>
        <v>2035.4055507300325</v>
      </c>
      <c r="D8" s="344">
        <f t="shared" si="1"/>
        <v>2035</v>
      </c>
    </row>
    <row r="9" spans="1:5" x14ac:dyDescent="0.2">
      <c r="A9" s="173" t="s">
        <v>120</v>
      </c>
      <c r="B9" s="233">
        <f>'Sumář všech příspěvků rok 2023'!H33</f>
        <v>558</v>
      </c>
      <c r="C9" s="351">
        <f t="shared" si="0"/>
        <v>1615.5850601811637</v>
      </c>
      <c r="D9" s="351">
        <f t="shared" si="1"/>
        <v>1616</v>
      </c>
    </row>
    <row r="10" spans="1:5" x14ac:dyDescent="0.2">
      <c r="A10" s="174" t="s">
        <v>121</v>
      </c>
      <c r="B10" s="234">
        <f>'Sumář všech příspěvků rok 2023'!H34</f>
        <v>7301</v>
      </c>
      <c r="C10" s="344">
        <f t="shared" si="0"/>
        <v>21138.685527567523</v>
      </c>
      <c r="D10" s="344">
        <f>ROUND(C10,0)+2</f>
        <v>21141</v>
      </c>
    </row>
    <row r="11" spans="1:5" x14ac:dyDescent="0.2">
      <c r="A11" s="173" t="s">
        <v>122</v>
      </c>
      <c r="B11" s="233">
        <f>'Sumář všech příspěvků rok 2023'!H35</f>
        <v>443</v>
      </c>
      <c r="C11" s="351">
        <f t="shared" si="0"/>
        <v>1282.623981469992</v>
      </c>
      <c r="D11" s="351">
        <f t="shared" si="1"/>
        <v>1283</v>
      </c>
    </row>
    <row r="12" spans="1:5" x14ac:dyDescent="0.2">
      <c r="A12" s="174" t="s">
        <v>123</v>
      </c>
      <c r="B12" s="234">
        <f>'Sumář všech příspěvků rok 2023'!H36</f>
        <v>2699</v>
      </c>
      <c r="C12" s="344">
        <f t="shared" si="0"/>
        <v>7814.4517516648048</v>
      </c>
      <c r="D12" s="344">
        <f t="shared" si="1"/>
        <v>7814</v>
      </c>
    </row>
    <row r="13" spans="1:5" x14ac:dyDescent="0.2">
      <c r="A13" s="173" t="s">
        <v>124</v>
      </c>
      <c r="B13" s="233">
        <f>'Sumář všech příspěvků rok 2023'!H37</f>
        <v>266</v>
      </c>
      <c r="C13" s="351">
        <f t="shared" si="0"/>
        <v>770.1534516275799</v>
      </c>
      <c r="D13" s="351">
        <f t="shared" si="1"/>
        <v>770</v>
      </c>
    </row>
    <row r="14" spans="1:5" x14ac:dyDescent="0.2">
      <c r="A14" s="174" t="s">
        <v>125</v>
      </c>
      <c r="B14" s="234">
        <f>'Sumář všech příspěvků rok 2023'!H38</f>
        <v>227</v>
      </c>
      <c r="C14" s="344">
        <f t="shared" si="0"/>
        <v>657.23621623857377</v>
      </c>
      <c r="D14" s="344">
        <f t="shared" si="1"/>
        <v>657</v>
      </c>
    </row>
    <row r="15" spans="1:5" x14ac:dyDescent="0.2">
      <c r="A15" s="173" t="s">
        <v>126</v>
      </c>
      <c r="B15" s="233">
        <f>'Sumář všech příspěvků rok 2023'!H39</f>
        <v>644</v>
      </c>
      <c r="C15" s="351">
        <f t="shared" si="0"/>
        <v>1864.5820407825618</v>
      </c>
      <c r="D15" s="351">
        <f t="shared" si="1"/>
        <v>1865</v>
      </c>
    </row>
    <row r="16" spans="1:5" x14ac:dyDescent="0.2">
      <c r="A16" s="174" t="s">
        <v>127</v>
      </c>
      <c r="B16" s="234">
        <f>'Sumář všech příspěvků rok 2023'!H40</f>
        <v>482</v>
      </c>
      <c r="C16" s="344">
        <f t="shared" si="0"/>
        <v>1395.541216858998</v>
      </c>
      <c r="D16" s="344">
        <f t="shared" si="1"/>
        <v>1396</v>
      </c>
    </row>
    <row r="17" spans="1:6" x14ac:dyDescent="0.2">
      <c r="A17" s="173" t="s">
        <v>128</v>
      </c>
      <c r="B17" s="233">
        <f>'Sumář všech příspěvků rok 2023'!H41</f>
        <v>360</v>
      </c>
      <c r="C17" s="351">
        <f t="shared" si="0"/>
        <v>1042.3129420523637</v>
      </c>
      <c r="D17" s="351">
        <f t="shared" si="1"/>
        <v>1042</v>
      </c>
    </row>
    <row r="18" spans="1:6" x14ac:dyDescent="0.2">
      <c r="A18" s="174" t="s">
        <v>129</v>
      </c>
      <c r="B18" s="234">
        <f>'Sumář všech příspěvků rok 2023'!H42</f>
        <v>446</v>
      </c>
      <c r="C18" s="344">
        <f t="shared" si="0"/>
        <v>1291.3099226537618</v>
      </c>
      <c r="D18" s="344">
        <f t="shared" si="1"/>
        <v>1291</v>
      </c>
    </row>
    <row r="19" spans="1:6" x14ac:dyDescent="0.2">
      <c r="A19" s="173" t="s">
        <v>130</v>
      </c>
      <c r="B19" s="233">
        <f>'Sumář všech příspěvků rok 2023'!H43</f>
        <v>3649</v>
      </c>
      <c r="C19" s="351">
        <f t="shared" si="0"/>
        <v>10564.999793191875</v>
      </c>
      <c r="D19" s="351">
        <f t="shared" si="1"/>
        <v>10565</v>
      </c>
    </row>
    <row r="20" spans="1:6" x14ac:dyDescent="0.2">
      <c r="A20" s="174" t="s">
        <v>131</v>
      </c>
      <c r="B20" s="234">
        <f>'Sumář všech příspěvků rok 2023'!H44</f>
        <v>286</v>
      </c>
      <c r="C20" s="344">
        <f t="shared" si="0"/>
        <v>828.05972618604449</v>
      </c>
      <c r="D20" s="344">
        <f t="shared" si="1"/>
        <v>828</v>
      </c>
    </row>
    <row r="21" spans="1:6" x14ac:dyDescent="0.2">
      <c r="A21" s="173" t="s">
        <v>137</v>
      </c>
      <c r="B21" s="233">
        <f>'Sumář všech příspěvků rok 2023'!H45</f>
        <v>2836</v>
      </c>
      <c r="C21" s="351">
        <f t="shared" si="0"/>
        <v>8211.1097323902868</v>
      </c>
      <c r="D21" s="351">
        <f t="shared" si="1"/>
        <v>8211</v>
      </c>
    </row>
    <row r="22" spans="1:6" ht="13.5" thickBot="1" x14ac:dyDescent="0.25">
      <c r="A22" s="174" t="s">
        <v>133</v>
      </c>
      <c r="B22" s="234">
        <f>'Sumář všech příspěvků rok 2023'!H46</f>
        <v>1323</v>
      </c>
      <c r="C22" s="354">
        <f t="shared" si="0"/>
        <v>3830.5000620424366</v>
      </c>
      <c r="D22" s="354">
        <f t="shared" si="1"/>
        <v>3831</v>
      </c>
    </row>
    <row r="23" spans="1:6" ht="13.5" thickBot="1" x14ac:dyDescent="0.25">
      <c r="A23" s="62"/>
      <c r="B23" s="214">
        <f>SUM(B5:B22)</f>
        <v>24177</v>
      </c>
      <c r="C23" s="63">
        <f>SUM(C5:C22)</f>
        <v>70000</v>
      </c>
      <c r="D23" s="63">
        <f>SUM(D5:D22)</f>
        <v>70003</v>
      </c>
    </row>
    <row r="24" spans="1:6" x14ac:dyDescent="0.2">
      <c r="C24">
        <v>70000</v>
      </c>
      <c r="D24">
        <f>C24/B23</f>
        <v>2.8953137279232326</v>
      </c>
      <c r="E24" s="283" t="s">
        <v>185</v>
      </c>
      <c r="F24" s="60"/>
    </row>
    <row r="25" spans="1:6" x14ac:dyDescent="0.2">
      <c r="A25" s="195"/>
      <c r="C25" s="109">
        <f>C23/C24</f>
        <v>1</v>
      </c>
      <c r="D25" s="1"/>
    </row>
    <row r="26" spans="1:6" x14ac:dyDescent="0.2">
      <c r="A26" s="283" t="s">
        <v>186</v>
      </c>
    </row>
    <row r="27" spans="1:6" x14ac:dyDescent="0.2">
      <c r="A27" s="283"/>
    </row>
    <row r="28" spans="1:6" ht="14.25" x14ac:dyDescent="0.2">
      <c r="A28" s="251" t="s">
        <v>143</v>
      </c>
      <c r="B28" s="5"/>
      <c r="C28" s="5"/>
      <c r="D28" s="5"/>
      <c r="E28" s="5"/>
      <c r="F28" s="5"/>
    </row>
    <row r="29" spans="1:6" ht="14.25" x14ac:dyDescent="0.2">
      <c r="A29" s="454">
        <f>'č. 3 příspěvek OSA'!A29:G29</f>
        <v>44844</v>
      </c>
      <c r="B29" s="455"/>
      <c r="C29" s="455"/>
      <c r="D29" s="455"/>
      <c r="E29" s="455"/>
      <c r="F29" s="455"/>
    </row>
  </sheetData>
  <mergeCells count="2">
    <mergeCell ref="A2:E2"/>
    <mergeCell ref="A29:F29"/>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15</vt:i4>
      </vt:variant>
    </vt:vector>
  </HeadingPairs>
  <TitlesOfParts>
    <vt:vector size="15" baseType="lpstr">
      <vt:lpstr>KOMENTÁŘE</vt:lpstr>
      <vt:lpstr>rozpočet 2023</vt:lpstr>
      <vt:lpstr>rozpis rozpočtu 2023</vt:lpstr>
      <vt:lpstr>Sumář všech příspěvků rok 2023</vt:lpstr>
      <vt:lpstr>č. 1 čl. přísp.</vt:lpstr>
      <vt:lpstr>č. 2 Protidrogová prevence 2019</vt:lpstr>
      <vt:lpstr>č. 2 soc.služby</vt:lpstr>
      <vt:lpstr>č. 3 příspěvek OSA</vt:lpstr>
      <vt:lpstr>č. 4 protidrog.prevence</vt:lpstr>
      <vt:lpstr> č.5 SVP</vt:lpstr>
      <vt:lpstr>č. 6 Heřmanička</vt:lpstr>
      <vt:lpstr>č.7 komunitní plánování</vt:lpstr>
      <vt:lpstr>č. 8 - xxxx</vt:lpstr>
      <vt:lpstr>manažer odpady</vt:lpstr>
      <vt:lpstr>POV podíl obcí 2022-3</vt:lpstr>
    </vt:vector>
  </TitlesOfParts>
  <Manager/>
  <Company>Městský úřad Frýdlant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Město</dc:creator>
  <cp:keywords/>
  <dc:description/>
  <cp:lastModifiedBy>Petrovic</cp:lastModifiedBy>
  <cp:revision/>
  <cp:lastPrinted>2022-11-22T07:04:29Z</cp:lastPrinted>
  <dcterms:created xsi:type="dcterms:W3CDTF">2008-01-23T08:20:49Z</dcterms:created>
  <dcterms:modified xsi:type="dcterms:W3CDTF">2022-12-06T14:13:13Z</dcterms:modified>
  <cp:category/>
  <cp:contentStatus/>
</cp:coreProperties>
</file>