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y\EKONOMICKÉ\ROZPOČET\ROZPOČET 2025\"/>
    </mc:Choice>
  </mc:AlternateContent>
  <xr:revisionPtr revIDLastSave="0" documentId="13_ncr:1_{97C5221F-3B4C-4DD6-B3F7-6D37079CA85A}" xr6:coauthVersionLast="47" xr6:coauthVersionMax="47" xr10:uidLastSave="{00000000-0000-0000-0000-000000000000}"/>
  <bookViews>
    <workbookView xWindow="-120" yWindow="-120" windowWidth="29040" windowHeight="15720" tabRatio="882" firstSheet="16" activeTab="19" xr2:uid="{4FD748A9-4645-48B5-90DB-84C9A405AAC4}"/>
  </bookViews>
  <sheets>
    <sheet name="ROZPOČET_RO4" sheetId="38" state="hidden" r:id="rId1"/>
    <sheet name="ROZPOČET_RO3" sheetId="37" state="hidden" r:id="rId2"/>
    <sheet name="ROZPOČET_RO2" sheetId="36" state="hidden" r:id="rId3"/>
    <sheet name="VÝHLED_FINAL" sheetId="34" state="hidden" r:id="rId4"/>
    <sheet name="ROZPOČET_FINAL" sheetId="33" state="hidden" r:id="rId5"/>
    <sheet name="VÝHLEDschvaleno" sheetId="44" state="hidden" r:id="rId6"/>
    <sheet name="ROZPOČET_RO7_" sheetId="53" state="hidden" r:id="rId7"/>
    <sheet name="ROZPOČET_RO6_" sheetId="52" state="hidden" r:id="rId8"/>
    <sheet name="ROZPOČET_RO5_" sheetId="51" state="hidden" r:id="rId9"/>
    <sheet name="ROZPOČET_RO4_" sheetId="50" state="hidden" r:id="rId10"/>
    <sheet name="ROZPOČET_RO3_" sheetId="48" state="hidden" r:id="rId11"/>
    <sheet name="ROZPOČET_RO3_ navrh" sheetId="49" state="hidden" r:id="rId12"/>
    <sheet name="ROZPOČET_RO2_" sheetId="47" state="hidden" r:id="rId13"/>
    <sheet name="ROZPOČET_RO1" sheetId="46" state="hidden" r:id="rId14"/>
    <sheet name="ROZPOČETschváleno" sheetId="45" state="hidden" r:id="rId15"/>
    <sheet name="VÝHLED23návrh" sheetId="15" state="hidden" r:id="rId16"/>
    <sheet name="SVR_25 navrh" sheetId="62" r:id="rId17"/>
    <sheet name="SVR_24" sheetId="57" state="hidden" r:id="rId18"/>
    <sheet name="SVR_24návrh" sheetId="55" state="hidden" r:id="rId19"/>
    <sheet name="RO_25" sheetId="63" r:id="rId20"/>
    <sheet name="RO4_24" sheetId="61" r:id="rId21"/>
    <sheet name="RO3_24" sheetId="60" state="hidden" r:id="rId22"/>
    <sheet name="RO2_24" sheetId="59" state="hidden" r:id="rId23"/>
    <sheet name="RO1_24" sheetId="58" state="hidden" r:id="rId24"/>
    <sheet name="RO_24" sheetId="56" state="hidden" r:id="rId25"/>
    <sheet name="RO_24návrh" sheetId="54" state="hidden" r:id="rId26"/>
    <sheet name="ROZPOČET23návrh" sheetId="14" state="hidden" r:id="rId27"/>
    <sheet name="odměny ZO 2025" sheetId="64" state="hidden" r:id="rId28"/>
    <sheet name="Rozpis_Příjmy" sheetId="4" r:id="rId29"/>
    <sheet name="Rozpis_Výdaje" sheetId="5" r:id="rId30"/>
    <sheet name="2023_vlastní aktivity" sheetId="39" state="hidden" r:id="rId31"/>
    <sheet name="odměny ZO 2023" sheetId="43" state="hidden" r:id="rId32"/>
  </sheets>
  <externalReferences>
    <externalReference r:id="rId33"/>
    <externalReference r:id="rId34"/>
    <externalReference r:id="rId35"/>
  </externalReferences>
  <definedNames>
    <definedName name="_xlnm._FilterDatabase" localSheetId="28" hidden="1">Rozpis_Příjmy!$A$4:$EA$22</definedName>
    <definedName name="_xlnm._FilterDatabase" localSheetId="29" hidden="1">Rozpis_Výdaje!$A$4:$GJ$330</definedName>
    <definedName name="JR_PAGE_ANCHOR_0_2" localSheetId="13">#REF!</definedName>
    <definedName name="JR_PAGE_ANCHOR_0_2" localSheetId="12">#REF!</definedName>
    <definedName name="JR_PAGE_ANCHOR_0_2" localSheetId="10">#REF!</definedName>
    <definedName name="JR_PAGE_ANCHOR_0_2" localSheetId="11">#REF!</definedName>
    <definedName name="JR_PAGE_ANCHOR_0_2" localSheetId="9">#REF!</definedName>
    <definedName name="JR_PAGE_ANCHOR_0_2" localSheetId="8">#REF!</definedName>
    <definedName name="JR_PAGE_ANCHOR_0_2" localSheetId="7">#REF!</definedName>
    <definedName name="JR_PAGE_ANCHOR_0_2" localSheetId="6">#REF!</definedName>
    <definedName name="JR_PAGE_ANCHOR_0_2">#REF!</definedName>
    <definedName name="JR_PAGE_ANCHOR_0_3" localSheetId="13">#REF!</definedName>
    <definedName name="JR_PAGE_ANCHOR_0_3" localSheetId="12">#REF!</definedName>
    <definedName name="JR_PAGE_ANCHOR_0_3" localSheetId="10">#REF!</definedName>
    <definedName name="JR_PAGE_ANCHOR_0_3" localSheetId="11">#REF!</definedName>
    <definedName name="JR_PAGE_ANCHOR_0_3" localSheetId="9">#REF!</definedName>
    <definedName name="JR_PAGE_ANCHOR_0_3" localSheetId="8">#REF!</definedName>
    <definedName name="JR_PAGE_ANCHOR_0_3" localSheetId="7">#REF!</definedName>
    <definedName name="JR_PAGE_ANCHOR_0_3" localSheetId="6">#REF!</definedName>
    <definedName name="JR_PAGE_ANCHOR_0_3">#REF!</definedName>
    <definedName name="_xlnm.Print_Area" localSheetId="24">RO_24!$A$1:$I$33</definedName>
    <definedName name="_xlnm.Print_Area" localSheetId="25">RO_24návrh!$A$1:$I$31</definedName>
    <definedName name="_xlnm.Print_Area" localSheetId="19">RO_25!$A$1:$I$35</definedName>
    <definedName name="_xlnm.Print_Area" localSheetId="23">RO1_24!$A$1:$I$32</definedName>
    <definedName name="_xlnm.Print_Area" localSheetId="22">RO2_24!$A$1:$L$35</definedName>
    <definedName name="_xlnm.Print_Area" localSheetId="21">RO3_24!$A$1:$O$35</definedName>
    <definedName name="_xlnm.Print_Area" localSheetId="20">RO4_24!$A$1:$S$35</definedName>
    <definedName name="_xlnm.Print_Area" localSheetId="4">ROZPOČET_FINAL!$A$1:$H$32</definedName>
    <definedName name="_xlnm.Print_Area" localSheetId="13">ROZPOČET_RO1!$A$1:$I$35</definedName>
    <definedName name="_xlnm.Print_Area" localSheetId="2">ROZPOČET_RO2!$A$2:$L$33</definedName>
    <definedName name="_xlnm.Print_Area" localSheetId="12">ROZPOČET_RO2_!$A$1:$L$34</definedName>
    <definedName name="_xlnm.Print_Area" localSheetId="1">ROZPOČET_RO3!$A$1:$O$35</definedName>
    <definedName name="_xlnm.Print_Area" localSheetId="10">ROZPOČET_RO3_!$A$1:$O$34</definedName>
    <definedName name="_xlnm.Print_Area" localSheetId="11">'ROZPOČET_RO3_ navrh'!$A$1:$O$34</definedName>
    <definedName name="_xlnm.Print_Area" localSheetId="0">ROZPOČET_RO4!$A$1:$R$34</definedName>
    <definedName name="_xlnm.Print_Area" localSheetId="9">ROZPOČET_RO4_!$A$1:$R$36</definedName>
    <definedName name="_xlnm.Print_Area" localSheetId="8">ROZPOČET_RO5_!$A$1:$U$37</definedName>
    <definedName name="_xlnm.Print_Area" localSheetId="7">ROZPOČET_RO6_!$A$1:$X$37</definedName>
    <definedName name="_xlnm.Print_Area" localSheetId="6">ROZPOČET_RO7_!$A$1:$AA$38</definedName>
    <definedName name="_xlnm.Print_Area" localSheetId="26">ROZPOČET23návrh!$A$1:$H$30</definedName>
    <definedName name="_xlnm.Print_Area" localSheetId="14">ROZPOČETschváleno!$A$1:$H$32</definedName>
    <definedName name="_xlnm.Print_Area" localSheetId="17">SVR_24!$A$1:$I$26</definedName>
    <definedName name="_xlnm.Print_Area" localSheetId="18">SVR_24návrh!$A$1:$I$26</definedName>
    <definedName name="_xlnm.Print_Area" localSheetId="16">'SVR_25 navrh'!$A$1:$I$28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I89" i="4" l="1"/>
  <c r="C14" i="62"/>
  <c r="D14" i="62" l="1"/>
  <c r="EK111" i="4"/>
  <c r="EK54" i="4" l="1"/>
  <c r="FT318" i="5"/>
  <c r="FV313" i="5"/>
  <c r="FT313" i="5"/>
  <c r="FT302" i="5"/>
  <c r="FT298" i="5"/>
  <c r="FT294" i="5"/>
  <c r="FT293" i="5"/>
  <c r="FT260" i="5"/>
  <c r="FT230" i="5"/>
  <c r="FV225" i="5"/>
  <c r="FV224" i="5"/>
  <c r="FV223" i="5"/>
  <c r="FT225" i="5"/>
  <c r="FT224" i="5"/>
  <c r="FT223" i="5"/>
  <c r="FT195" i="5"/>
  <c r="FT187" i="5"/>
  <c r="FT188" i="5"/>
  <c r="FT186" i="5"/>
  <c r="FT163" i="5"/>
  <c r="FT162" i="5"/>
  <c r="FV151" i="5"/>
  <c r="FV150" i="5"/>
  <c r="FT151" i="5"/>
  <c r="FT150" i="5"/>
  <c r="FT143" i="5"/>
  <c r="FT142" i="5"/>
  <c r="FT139" i="5"/>
  <c r="FT138" i="5"/>
  <c r="FT131" i="5"/>
  <c r="FT130" i="5"/>
  <c r="FT129" i="5"/>
  <c r="FT121" i="5"/>
  <c r="FT120" i="5"/>
  <c r="FT116" i="5"/>
  <c r="FT115" i="5"/>
  <c r="FT103" i="5"/>
  <c r="FT102" i="5"/>
  <c r="FT101" i="5"/>
  <c r="FT339" i="5"/>
  <c r="FT329" i="5"/>
  <c r="FV329" i="5"/>
  <c r="FV293" i="5"/>
  <c r="FV260" i="5"/>
  <c r="FV230" i="5"/>
  <c r="FV199" i="5"/>
  <c r="FT199" i="5"/>
  <c r="FV197" i="5"/>
  <c r="FT197" i="5"/>
  <c r="FV195" i="5"/>
  <c r="FV143" i="5"/>
  <c r="FV131" i="5"/>
  <c r="FV129" i="5"/>
  <c r="FV138" i="5"/>
  <c r="FV116" i="5"/>
  <c r="FV115" i="5"/>
  <c r="FV101" i="5"/>
  <c r="FV87" i="5"/>
  <c r="FT87" i="5"/>
  <c r="FV69" i="5"/>
  <c r="FV68" i="5"/>
  <c r="FT69" i="5"/>
  <c r="FT68" i="5"/>
  <c r="FV80" i="5"/>
  <c r="FT80" i="5"/>
  <c r="FV54" i="5"/>
  <c r="FT54" i="5"/>
  <c r="FV43" i="5"/>
  <c r="FT43" i="5"/>
  <c r="FV37" i="5"/>
  <c r="FT37" i="5"/>
  <c r="FV25" i="5"/>
  <c r="FV23" i="5"/>
  <c r="FV10" i="5"/>
  <c r="FV8" i="5"/>
  <c r="FT25" i="5"/>
  <c r="FT23" i="5"/>
  <c r="FT8" i="5"/>
  <c r="EI111" i="4"/>
  <c r="EI22" i="4"/>
  <c r="EI113" i="4" s="1"/>
  <c r="EI33" i="4"/>
  <c r="EK22" i="4"/>
  <c r="FV40" i="5"/>
  <c r="EL51" i="4" l="1"/>
  <c r="FV142" i="5"/>
  <c r="EM339" i="5" l="1"/>
  <c r="EP339" i="5"/>
  <c r="ES339" i="5"/>
  <c r="EV339" i="5"/>
  <c r="EY339" i="5"/>
  <c r="FB339" i="5"/>
  <c r="FE339" i="5"/>
  <c r="FH339" i="5"/>
  <c r="FK339" i="5"/>
  <c r="FN339" i="5"/>
  <c r="FQ339" i="5"/>
  <c r="FR339" i="5"/>
  <c r="F27" i="63"/>
  <c r="FV146" i="5"/>
  <c r="FV319" i="5" l="1"/>
  <c r="FV315" i="5"/>
  <c r="FW303" i="5"/>
  <c r="FV70" i="5"/>
  <c r="FW70" i="5" s="1"/>
  <c r="FT55" i="5"/>
  <c r="FV162" i="5"/>
  <c r="FV186" i="5"/>
  <c r="D13" i="63"/>
  <c r="D12" i="63"/>
  <c r="EF111" i="4"/>
  <c r="EL72" i="4"/>
  <c r="EL7" i="4"/>
  <c r="FW326" i="5"/>
  <c r="FW325" i="5"/>
  <c r="FW324" i="5"/>
  <c r="FW323" i="5"/>
  <c r="FW322" i="5"/>
  <c r="FW321" i="5"/>
  <c r="FW320" i="5"/>
  <c r="FW307" i="5"/>
  <c r="FW299" i="5"/>
  <c r="FW297" i="5"/>
  <c r="FW291" i="5"/>
  <c r="FW290" i="5"/>
  <c r="FW289" i="5"/>
  <c r="FW288" i="5"/>
  <c r="FW287" i="5"/>
  <c r="FW286" i="5"/>
  <c r="FW285" i="5"/>
  <c r="FW284" i="5"/>
  <c r="FW283" i="5"/>
  <c r="FW282" i="5"/>
  <c r="FW281" i="5"/>
  <c r="FW280" i="5"/>
  <c r="FW279" i="5"/>
  <c r="FW278" i="5"/>
  <c r="FW277" i="5"/>
  <c r="FW276" i="5"/>
  <c r="FW275" i="5"/>
  <c r="FW274" i="5"/>
  <c r="FW273" i="5"/>
  <c r="FW272" i="5"/>
  <c r="FW271" i="5"/>
  <c r="FW270" i="5"/>
  <c r="FW269" i="5"/>
  <c r="FW268" i="5"/>
  <c r="FW267" i="5"/>
  <c r="FW266" i="5"/>
  <c r="FW265" i="5"/>
  <c r="FW264" i="5"/>
  <c r="FW263" i="5"/>
  <c r="FW262" i="5"/>
  <c r="FW261" i="5"/>
  <c r="FW237" i="5"/>
  <c r="FW236" i="5"/>
  <c r="FW235" i="5"/>
  <c r="FW231" i="5"/>
  <c r="FW228" i="5"/>
  <c r="FW227" i="5"/>
  <c r="FW226" i="5"/>
  <c r="FW222" i="5"/>
  <c r="FW221" i="5"/>
  <c r="FW220" i="5"/>
  <c r="FW218" i="5"/>
  <c r="FW217" i="5"/>
  <c r="FW216" i="5"/>
  <c r="FW215" i="5"/>
  <c r="FW214" i="5"/>
  <c r="FW213" i="5"/>
  <c r="FW212" i="5"/>
  <c r="FW211" i="5"/>
  <c r="FW210" i="5"/>
  <c r="FW209" i="5"/>
  <c r="FW208" i="5"/>
  <c r="FW207" i="5"/>
  <c r="FW206" i="5"/>
  <c r="FW205" i="5"/>
  <c r="FW204" i="5"/>
  <c r="FW203" i="5"/>
  <c r="FW202" i="5"/>
  <c r="FW201" i="5"/>
  <c r="FW200" i="5"/>
  <c r="FW196" i="5"/>
  <c r="FW189" i="5"/>
  <c r="FW181" i="5"/>
  <c r="FW180" i="5"/>
  <c r="FW179" i="5"/>
  <c r="FW178" i="5"/>
  <c r="FW177" i="5"/>
  <c r="FW176" i="5"/>
  <c r="FW175" i="5"/>
  <c r="FW174" i="5"/>
  <c r="FW173" i="5"/>
  <c r="FW172" i="5"/>
  <c r="FW171" i="5"/>
  <c r="FW170" i="5"/>
  <c r="FW169" i="5"/>
  <c r="FW168" i="5"/>
  <c r="FW167" i="5"/>
  <c r="FW166" i="5"/>
  <c r="FW165" i="5"/>
  <c r="FW164" i="5"/>
  <c r="FW155" i="5"/>
  <c r="FW154" i="5"/>
  <c r="FW158" i="5"/>
  <c r="FW152" i="5"/>
  <c r="FW146" i="5"/>
  <c r="FW141" i="5"/>
  <c r="FW136" i="5"/>
  <c r="FW134" i="5"/>
  <c r="FW126" i="5"/>
  <c r="FW112" i="5"/>
  <c r="FW111" i="5"/>
  <c r="FW110" i="5"/>
  <c r="FW109" i="5"/>
  <c r="FW108" i="5"/>
  <c r="FW107" i="5"/>
  <c r="FW106" i="5"/>
  <c r="FW105" i="5"/>
  <c r="FW104" i="5"/>
  <c r="FW98" i="5"/>
  <c r="FW97" i="5"/>
  <c r="FW96" i="5"/>
  <c r="FW95" i="5"/>
  <c r="FW94" i="5"/>
  <c r="FW93" i="5"/>
  <c r="FW86" i="5"/>
  <c r="FW71" i="5"/>
  <c r="FW64" i="5"/>
  <c r="FW63" i="5"/>
  <c r="FW62" i="5"/>
  <c r="FW61" i="5"/>
  <c r="FW60" i="5"/>
  <c r="FW59" i="5"/>
  <c r="FW56" i="5"/>
  <c r="FW51" i="5"/>
  <c r="FW47" i="5"/>
  <c r="FW48" i="5"/>
  <c r="FW40" i="5"/>
  <c r="FW39" i="5"/>
  <c r="FW33" i="5"/>
  <c r="FW26" i="5"/>
  <c r="FW18" i="5"/>
  <c r="FW13" i="5"/>
  <c r="FW9" i="5"/>
  <c r="FW5" i="5"/>
  <c r="EL96" i="4"/>
  <c r="EL95" i="4"/>
  <c r="EL87" i="4"/>
  <c r="EL86" i="4"/>
  <c r="EL84" i="4"/>
  <c r="EL83" i="4"/>
  <c r="EL82" i="4"/>
  <c r="EL81" i="4"/>
  <c r="EL79" i="4"/>
  <c r="EL77" i="4"/>
  <c r="EL68" i="4"/>
  <c r="EL67" i="4"/>
  <c r="EL66" i="4"/>
  <c r="EL61" i="4"/>
  <c r="EL52" i="4"/>
  <c r="EL46" i="4"/>
  <c r="EL43" i="4"/>
  <c r="EL39" i="4"/>
  <c r="EL38" i="4"/>
  <c r="EL35" i="4"/>
  <c r="EL31" i="4"/>
  <c r="EL28" i="4"/>
  <c r="EL27" i="4"/>
  <c r="EL25" i="4"/>
  <c r="EL24" i="4"/>
  <c r="EL6" i="4"/>
  <c r="EL8" i="4"/>
  <c r="EL9" i="4"/>
  <c r="EL10" i="4"/>
  <c r="EL11" i="4"/>
  <c r="EL12" i="4"/>
  <c r="EL13" i="4"/>
  <c r="EL14" i="4"/>
  <c r="EL15" i="4"/>
  <c r="EL16" i="4"/>
  <c r="EL17" i="4"/>
  <c r="EL18" i="4"/>
  <c r="EL19" i="4"/>
  <c r="EL20" i="4"/>
  <c r="EL21" i="4"/>
  <c r="EL5" i="4"/>
  <c r="D15" i="62"/>
  <c r="C15" i="62"/>
  <c r="C6" i="64"/>
  <c r="C5" i="64"/>
  <c r="C4" i="64"/>
  <c r="C3" i="64"/>
  <c r="C2" i="64"/>
  <c r="FV298" i="5"/>
  <c r="FT10" i="5"/>
  <c r="FW315" i="5" l="1"/>
  <c r="FV318" i="5"/>
  <c r="FW319" i="5"/>
  <c r="FV339" i="5"/>
  <c r="FW339" i="5" s="1"/>
  <c r="FW10" i="5"/>
  <c r="FW260" i="5"/>
  <c r="FW298" i="5"/>
  <c r="C7" i="64"/>
  <c r="E27" i="63"/>
  <c r="E29" i="63" s="1"/>
  <c r="D27" i="63"/>
  <c r="C27" i="63"/>
  <c r="EK115" i="4"/>
  <c r="EI115" i="4"/>
  <c r="F6" i="63"/>
  <c r="D7" i="62" s="1"/>
  <c r="EK89" i="4"/>
  <c r="F7" i="63" s="1"/>
  <c r="D8" i="62" s="1"/>
  <c r="E7" i="63"/>
  <c r="C8" i="62" s="1"/>
  <c r="EK33" i="4"/>
  <c r="F8" i="63" s="1"/>
  <c r="D9" i="62" s="1"/>
  <c r="E8" i="63"/>
  <c r="C9" i="62" s="1"/>
  <c r="F5" i="63"/>
  <c r="D6" i="62" s="1"/>
  <c r="FV306" i="5"/>
  <c r="FV302" i="5"/>
  <c r="FV295" i="5"/>
  <c r="FV294" i="5"/>
  <c r="FV188" i="5"/>
  <c r="FV187" i="5"/>
  <c r="FV163" i="5"/>
  <c r="FV139" i="5"/>
  <c r="FV130" i="5"/>
  <c r="FV121" i="5"/>
  <c r="FV120" i="5"/>
  <c r="FV103" i="5"/>
  <c r="FV102" i="5"/>
  <c r="FV84" i="5"/>
  <c r="FV81" i="5"/>
  <c r="FV55" i="5"/>
  <c r="FV31" i="5"/>
  <c r="FV24" i="5"/>
  <c r="FT306" i="5"/>
  <c r="FT295" i="5"/>
  <c r="FT335" i="5" s="1"/>
  <c r="FW293" i="5"/>
  <c r="FT84" i="5"/>
  <c r="FT81" i="5"/>
  <c r="FT31" i="5"/>
  <c r="FT24" i="5"/>
  <c r="FT333" i="5" s="1"/>
  <c r="FO297" i="5"/>
  <c r="FN298" i="5"/>
  <c r="FN329" i="5"/>
  <c r="FN318" i="5"/>
  <c r="FN313" i="5"/>
  <c r="FN306" i="5"/>
  <c r="FN302" i="5"/>
  <c r="FO295" i="5"/>
  <c r="FN295" i="5"/>
  <c r="FN294" i="5"/>
  <c r="FN293" i="5"/>
  <c r="FN230" i="5"/>
  <c r="FN225" i="5"/>
  <c r="FN224" i="5"/>
  <c r="FN223" i="5"/>
  <c r="FN199" i="5"/>
  <c r="FN197" i="5"/>
  <c r="FN195" i="5"/>
  <c r="FN188" i="5"/>
  <c r="FN187" i="5"/>
  <c r="FN186" i="5"/>
  <c r="FN163" i="5"/>
  <c r="FN162" i="5"/>
  <c r="FN151" i="5"/>
  <c r="FN150" i="5"/>
  <c r="FN143" i="5"/>
  <c r="FN142" i="5"/>
  <c r="FN139" i="5"/>
  <c r="FN138" i="5"/>
  <c r="FO131" i="5"/>
  <c r="FN131" i="5"/>
  <c r="FN130" i="5"/>
  <c r="FN129" i="5"/>
  <c r="FO121" i="5"/>
  <c r="FN121" i="5"/>
  <c r="FO120" i="5"/>
  <c r="FN120" i="5"/>
  <c r="FN116" i="5"/>
  <c r="FN115" i="5"/>
  <c r="FN103" i="5"/>
  <c r="FN102" i="5"/>
  <c r="FN101" i="5"/>
  <c r="FN87" i="5"/>
  <c r="FN84" i="5"/>
  <c r="FN81" i="5"/>
  <c r="FN80" i="5"/>
  <c r="FO69" i="5"/>
  <c r="FN69" i="5"/>
  <c r="FN68" i="5"/>
  <c r="FN55" i="5"/>
  <c r="FN54" i="5"/>
  <c r="FN43" i="5"/>
  <c r="FN37" i="5"/>
  <c r="FN31" i="5"/>
  <c r="FN25" i="5"/>
  <c r="FN24" i="5"/>
  <c r="FN23" i="5"/>
  <c r="FN10" i="5"/>
  <c r="FN8" i="5"/>
  <c r="F16" i="62"/>
  <c r="E16" i="62"/>
  <c r="D16" i="62"/>
  <c r="C16" i="62"/>
  <c r="F13" i="62"/>
  <c r="E13" i="62"/>
  <c r="F10" i="62"/>
  <c r="E10" i="62"/>
  <c r="FK162" i="5"/>
  <c r="FL154" i="5"/>
  <c r="FO154" i="5" s="1"/>
  <c r="R19" i="61"/>
  <c r="R25" i="61" s="1"/>
  <c r="FB260" i="5"/>
  <c r="FB230" i="5"/>
  <c r="FB223" i="5"/>
  <c r="FB186" i="5"/>
  <c r="FB162" i="5"/>
  <c r="FB150" i="5"/>
  <c r="FB129" i="5"/>
  <c r="FB115" i="5"/>
  <c r="FB101" i="5"/>
  <c r="FB80" i="5"/>
  <c r="FB68" i="5"/>
  <c r="FB43" i="5"/>
  <c r="FB31" i="5"/>
  <c r="FB23" i="5"/>
  <c r="FB8" i="5"/>
  <c r="FE260" i="5"/>
  <c r="FK151" i="5"/>
  <c r="FK150" i="5"/>
  <c r="FK115" i="5"/>
  <c r="FK103" i="5"/>
  <c r="FK102" i="5"/>
  <c r="FK101" i="5"/>
  <c r="FB293" i="5"/>
  <c r="Q25" i="61"/>
  <c r="FK224" i="5"/>
  <c r="FK223" i="5"/>
  <c r="FK230" i="5"/>
  <c r="FK293" i="5"/>
  <c r="FT332" i="5" l="1"/>
  <c r="FW116" i="5"/>
  <c r="FV335" i="5"/>
  <c r="FW294" i="5"/>
  <c r="FW162" i="5"/>
  <c r="FW54" i="5"/>
  <c r="E6" i="63"/>
  <c r="C7" i="62" s="1"/>
  <c r="EL111" i="4"/>
  <c r="EL115" i="4"/>
  <c r="FW55" i="5"/>
  <c r="FW120" i="5"/>
  <c r="FW163" i="5"/>
  <c r="FW295" i="5"/>
  <c r="FW8" i="5"/>
  <c r="FW81" i="5"/>
  <c r="FW131" i="5"/>
  <c r="FW195" i="5"/>
  <c r="FW318" i="5"/>
  <c r="FW31" i="5"/>
  <c r="FW43" i="5"/>
  <c r="FW115" i="5"/>
  <c r="FW151" i="5"/>
  <c r="FW68" i="5"/>
  <c r="FW121" i="5"/>
  <c r="FW186" i="5"/>
  <c r="FW302" i="5"/>
  <c r="FW69" i="5"/>
  <c r="FW129" i="5"/>
  <c r="FW187" i="5"/>
  <c r="FW306" i="5"/>
  <c r="FW80" i="5"/>
  <c r="FW130" i="5"/>
  <c r="FW188" i="5"/>
  <c r="FW313" i="5"/>
  <c r="FW23" i="5"/>
  <c r="FW84" i="5"/>
  <c r="FW138" i="5"/>
  <c r="FW197" i="5"/>
  <c r="FW329" i="5"/>
  <c r="FW24" i="5"/>
  <c r="FW87" i="5"/>
  <c r="FW139" i="5"/>
  <c r="FW199" i="5"/>
  <c r="FW25" i="5"/>
  <c r="FW101" i="5"/>
  <c r="FW142" i="5"/>
  <c r="FW223" i="5"/>
  <c r="FW102" i="5"/>
  <c r="FW143" i="5"/>
  <c r="FW224" i="5"/>
  <c r="FW37" i="5"/>
  <c r="FW103" i="5"/>
  <c r="FW150" i="5"/>
  <c r="FW225" i="5"/>
  <c r="E5" i="63"/>
  <c r="C6" i="62" s="1"/>
  <c r="EL22" i="4"/>
  <c r="FV333" i="5"/>
  <c r="FV332" i="5"/>
  <c r="F9" i="63"/>
  <c r="H8" i="63"/>
  <c r="H7" i="63"/>
  <c r="EI1" i="4"/>
  <c r="EK113" i="4"/>
  <c r="FN333" i="5"/>
  <c r="FN335" i="5"/>
  <c r="FN260" i="5"/>
  <c r="FN332" i="5" s="1"/>
  <c r="F17" i="62"/>
  <c r="E17" i="62"/>
  <c r="FK240" i="5"/>
  <c r="FK248" i="5"/>
  <c r="FT337" i="5" l="1"/>
  <c r="FT1" i="5" s="1"/>
  <c r="E13" i="63"/>
  <c r="C12" i="62" s="1"/>
  <c r="H6" i="63"/>
  <c r="EK1" i="4"/>
  <c r="EL113" i="4"/>
  <c r="FW332" i="5"/>
  <c r="F13" i="63"/>
  <c r="D12" i="62" s="1"/>
  <c r="FW335" i="5"/>
  <c r="FW333" i="5"/>
  <c r="E9" i="63"/>
  <c r="H9" i="63" s="1"/>
  <c r="H5" i="63"/>
  <c r="F12" i="63"/>
  <c r="FV337" i="5"/>
  <c r="E12" i="63"/>
  <c r="C11" i="62" s="1"/>
  <c r="FN337" i="5"/>
  <c r="FN1" i="5" s="1"/>
  <c r="FK260" i="5"/>
  <c r="FK86" i="5"/>
  <c r="FK87" i="5" s="1"/>
  <c r="EG20" i="4"/>
  <c r="EG19" i="4"/>
  <c r="FK329" i="5"/>
  <c r="FK318" i="5"/>
  <c r="FK313" i="5"/>
  <c r="FK306" i="5"/>
  <c r="FK302" i="5"/>
  <c r="FK298" i="5"/>
  <c r="FL295" i="5"/>
  <c r="FK295" i="5"/>
  <c r="FK294" i="5"/>
  <c r="FK225" i="5"/>
  <c r="FK199" i="5"/>
  <c r="FK197" i="5"/>
  <c r="FK195" i="5"/>
  <c r="FK188" i="5"/>
  <c r="FK187" i="5"/>
  <c r="FK186" i="5"/>
  <c r="FK163" i="5"/>
  <c r="FK143" i="5"/>
  <c r="FK142" i="5"/>
  <c r="FK139" i="5"/>
  <c r="FK138" i="5"/>
  <c r="FL131" i="5"/>
  <c r="FK131" i="5"/>
  <c r="FK130" i="5"/>
  <c r="FK129" i="5"/>
  <c r="FL121" i="5"/>
  <c r="FK121" i="5"/>
  <c r="FL120" i="5"/>
  <c r="FK120" i="5"/>
  <c r="FK116" i="5"/>
  <c r="FK84" i="5"/>
  <c r="FK81" i="5"/>
  <c r="FK80" i="5"/>
  <c r="FL69" i="5"/>
  <c r="FK69" i="5"/>
  <c r="FK68" i="5"/>
  <c r="FK55" i="5"/>
  <c r="FK54" i="5"/>
  <c r="FK43" i="5"/>
  <c r="FK37" i="5"/>
  <c r="FK31" i="5"/>
  <c r="FK25" i="5"/>
  <c r="FK24" i="5"/>
  <c r="FK23" i="5"/>
  <c r="FK10" i="5"/>
  <c r="FK8" i="5"/>
  <c r="O25" i="61"/>
  <c r="N25" i="61"/>
  <c r="L25" i="61"/>
  <c r="K25" i="61"/>
  <c r="I25" i="61"/>
  <c r="H25" i="61"/>
  <c r="F25" i="61"/>
  <c r="E25" i="61"/>
  <c r="D25" i="61"/>
  <c r="C25" i="61"/>
  <c r="D14" i="61"/>
  <c r="EF115" i="4"/>
  <c r="Q6" i="61"/>
  <c r="EF89" i="4"/>
  <c r="Q7" i="61" s="1"/>
  <c r="EF22" i="4"/>
  <c r="Q5" i="61" s="1"/>
  <c r="FH329" i="5"/>
  <c r="FH318" i="5"/>
  <c r="FH313" i="5"/>
  <c r="FH306" i="5"/>
  <c r="FH302" i="5"/>
  <c r="FH298" i="5"/>
  <c r="FI295" i="5"/>
  <c r="FH295" i="5"/>
  <c r="FH294" i="5"/>
  <c r="FH293" i="5"/>
  <c r="FH260" i="5"/>
  <c r="FH230" i="5"/>
  <c r="FH225" i="5"/>
  <c r="FH224" i="5"/>
  <c r="FH223" i="5"/>
  <c r="FH199" i="5"/>
  <c r="FH197" i="5"/>
  <c r="FH195" i="5"/>
  <c r="FH188" i="5"/>
  <c r="FH187" i="5"/>
  <c r="FH186" i="5"/>
  <c r="FH163" i="5"/>
  <c r="FH162" i="5"/>
  <c r="FH151" i="5"/>
  <c r="FH150" i="5"/>
  <c r="FH143" i="5"/>
  <c r="FH142" i="5"/>
  <c r="FH139" i="5"/>
  <c r="FH138" i="5"/>
  <c r="FI131" i="5"/>
  <c r="FH131" i="5"/>
  <c r="FH130" i="5"/>
  <c r="FH129" i="5"/>
  <c r="FI121" i="5"/>
  <c r="FH121" i="5"/>
  <c r="FI120" i="5"/>
  <c r="FH120" i="5"/>
  <c r="FH116" i="5"/>
  <c r="FH115" i="5"/>
  <c r="FH103" i="5"/>
  <c r="FH102" i="5"/>
  <c r="FH101" i="5"/>
  <c r="FH87" i="5"/>
  <c r="FH84" i="5"/>
  <c r="FH81" i="5"/>
  <c r="FH80" i="5"/>
  <c r="FI69" i="5"/>
  <c r="FH69" i="5"/>
  <c r="FH68" i="5"/>
  <c r="FH55" i="5"/>
  <c r="FH54" i="5"/>
  <c r="FH43" i="5"/>
  <c r="FH37" i="5"/>
  <c r="FH31" i="5"/>
  <c r="FH25" i="5"/>
  <c r="FH24" i="5"/>
  <c r="FH23" i="5"/>
  <c r="FH10" i="5"/>
  <c r="FH8" i="5"/>
  <c r="FE329" i="5"/>
  <c r="FE318" i="5"/>
  <c r="FE313" i="5"/>
  <c r="FE306" i="5"/>
  <c r="FE302" i="5"/>
  <c r="FE298" i="5"/>
  <c r="FF295" i="5"/>
  <c r="FE295" i="5"/>
  <c r="FE294" i="5"/>
  <c r="FE293" i="5"/>
  <c r="FE230" i="5"/>
  <c r="FE225" i="5"/>
  <c r="FE224" i="5"/>
  <c r="FE223" i="5"/>
  <c r="FE199" i="5"/>
  <c r="FE197" i="5"/>
  <c r="FE195" i="5"/>
  <c r="FE188" i="5"/>
  <c r="FE187" i="5"/>
  <c r="FE186" i="5"/>
  <c r="FE163" i="5"/>
  <c r="FE162" i="5"/>
  <c r="FE151" i="5"/>
  <c r="FE150" i="5"/>
  <c r="FE143" i="5"/>
  <c r="FE142" i="5"/>
  <c r="FE139" i="5"/>
  <c r="FE138" i="5"/>
  <c r="FF131" i="5"/>
  <c r="FE131" i="5"/>
  <c r="FE130" i="5"/>
  <c r="FE129" i="5"/>
  <c r="FF121" i="5"/>
  <c r="FE121" i="5"/>
  <c r="FF120" i="5"/>
  <c r="FE120" i="5"/>
  <c r="FE116" i="5"/>
  <c r="FE115" i="5"/>
  <c r="FE103" i="5"/>
  <c r="FE102" i="5"/>
  <c r="FE101" i="5"/>
  <c r="FE87" i="5"/>
  <c r="FE84" i="5"/>
  <c r="FE81" i="5"/>
  <c r="FE80" i="5"/>
  <c r="FF69" i="5"/>
  <c r="FE69" i="5"/>
  <c r="FE68" i="5"/>
  <c r="FE55" i="5"/>
  <c r="FE54" i="5"/>
  <c r="FE43" i="5"/>
  <c r="FE37" i="5"/>
  <c r="FE31" i="5"/>
  <c r="FE25" i="5"/>
  <c r="FE24" i="5"/>
  <c r="FE23" i="5"/>
  <c r="FE10" i="5"/>
  <c r="FE8" i="5"/>
  <c r="O25" i="60"/>
  <c r="N25" i="60"/>
  <c r="L25" i="60"/>
  <c r="K25" i="60"/>
  <c r="I25" i="60"/>
  <c r="H25" i="60"/>
  <c r="F25" i="60"/>
  <c r="E25" i="60"/>
  <c r="D25" i="60"/>
  <c r="C25" i="60"/>
  <c r="D14" i="60"/>
  <c r="FC39" i="5"/>
  <c r="FF39" i="5" s="1"/>
  <c r="FI39" i="5" s="1"/>
  <c r="FL39" i="5" s="1"/>
  <c r="FO39" i="5" s="1"/>
  <c r="FB329" i="5"/>
  <c r="FB318" i="5"/>
  <c r="FB313" i="5"/>
  <c r="FB306" i="5"/>
  <c r="FB302" i="5"/>
  <c r="FB298" i="5"/>
  <c r="FC295" i="5"/>
  <c r="FB295" i="5"/>
  <c r="FB294" i="5"/>
  <c r="FB225" i="5"/>
  <c r="FB224" i="5"/>
  <c r="FB199" i="5"/>
  <c r="FB197" i="5"/>
  <c r="FB195" i="5"/>
  <c r="FB188" i="5"/>
  <c r="FB187" i="5"/>
  <c r="FB163" i="5"/>
  <c r="FB151" i="5"/>
  <c r="FB143" i="5"/>
  <c r="FB142" i="5"/>
  <c r="FB139" i="5"/>
  <c r="FB138" i="5"/>
  <c r="FC131" i="5"/>
  <c r="FB131" i="5"/>
  <c r="FB130" i="5"/>
  <c r="FC121" i="5"/>
  <c r="FB121" i="5"/>
  <c r="FC120" i="5"/>
  <c r="FB120" i="5"/>
  <c r="FB116" i="5"/>
  <c r="FB103" i="5"/>
  <c r="FB102" i="5"/>
  <c r="FB87" i="5"/>
  <c r="FB84" i="5"/>
  <c r="FB81" i="5"/>
  <c r="FC69" i="5"/>
  <c r="FB69" i="5"/>
  <c r="FB55" i="5"/>
  <c r="FB54" i="5"/>
  <c r="FB37" i="5"/>
  <c r="FB25" i="5"/>
  <c r="FB24" i="5"/>
  <c r="FB10" i="5"/>
  <c r="EC115" i="4"/>
  <c r="EC111" i="4"/>
  <c r="N6" i="60" s="1"/>
  <c r="EC89" i="4"/>
  <c r="N7" i="61" s="1"/>
  <c r="EC33" i="4"/>
  <c r="N8" i="60" s="1"/>
  <c r="EC22" i="4"/>
  <c r="N5" i="60" s="1"/>
  <c r="EZ9" i="5"/>
  <c r="EZ10" i="5" s="1"/>
  <c r="EY10" i="5"/>
  <c r="EY329" i="5"/>
  <c r="EY318" i="5"/>
  <c r="EY313" i="5"/>
  <c r="EY306" i="5"/>
  <c r="EY302" i="5"/>
  <c r="EY298" i="5"/>
  <c r="EZ295" i="5"/>
  <c r="EY295" i="5"/>
  <c r="EY294" i="5"/>
  <c r="EY293" i="5"/>
  <c r="EY230" i="5"/>
  <c r="EY225" i="5"/>
  <c r="EY224" i="5"/>
  <c r="EY223" i="5"/>
  <c r="EY199" i="5"/>
  <c r="EY197" i="5"/>
  <c r="EY195" i="5"/>
  <c r="EY188" i="5"/>
  <c r="EY187" i="5"/>
  <c r="EY186" i="5"/>
  <c r="EY163" i="5"/>
  <c r="EY162" i="5"/>
  <c r="EY151" i="5"/>
  <c r="EY150" i="5"/>
  <c r="EY143" i="5"/>
  <c r="EY142" i="5"/>
  <c r="EY139" i="5"/>
  <c r="EY138" i="5"/>
  <c r="EZ131" i="5"/>
  <c r="EY131" i="5"/>
  <c r="EY130" i="5"/>
  <c r="EY129" i="5"/>
  <c r="EZ121" i="5"/>
  <c r="EY121" i="5"/>
  <c r="EZ120" i="5"/>
  <c r="EY120" i="5"/>
  <c r="EY116" i="5"/>
  <c r="EY115" i="5"/>
  <c r="EY103" i="5"/>
  <c r="EY102" i="5"/>
  <c r="EY101" i="5"/>
  <c r="EY87" i="5"/>
  <c r="EY84" i="5"/>
  <c r="EY81" i="5"/>
  <c r="EY80" i="5"/>
  <c r="EZ69" i="5"/>
  <c r="EY69" i="5"/>
  <c r="EY68" i="5"/>
  <c r="EY55" i="5"/>
  <c r="EY54" i="5"/>
  <c r="EY43" i="5"/>
  <c r="EY37" i="5"/>
  <c r="EY31" i="5"/>
  <c r="EY25" i="5"/>
  <c r="EY24" i="5"/>
  <c r="EY23" i="5"/>
  <c r="EY8" i="5"/>
  <c r="EV252" i="5"/>
  <c r="EV248" i="5"/>
  <c r="EV147" i="5"/>
  <c r="EV151" i="5" s="1"/>
  <c r="EV329" i="5"/>
  <c r="EV318" i="5"/>
  <c r="EV313" i="5"/>
  <c r="EV306" i="5"/>
  <c r="EV302" i="5"/>
  <c r="EV298" i="5"/>
  <c r="EW295" i="5"/>
  <c r="EV295" i="5"/>
  <c r="EV294" i="5"/>
  <c r="EV293" i="5"/>
  <c r="EV230" i="5"/>
  <c r="EV225" i="5"/>
  <c r="EV224" i="5"/>
  <c r="EV223" i="5"/>
  <c r="EV199" i="5"/>
  <c r="EV197" i="5"/>
  <c r="EV195" i="5"/>
  <c r="EV188" i="5"/>
  <c r="EV187" i="5"/>
  <c r="EV186" i="5"/>
  <c r="EV163" i="5"/>
  <c r="EV162" i="5"/>
  <c r="EV150" i="5"/>
  <c r="EV143" i="5"/>
  <c r="EV142" i="5"/>
  <c r="EV139" i="5"/>
  <c r="EV138" i="5"/>
  <c r="EW131" i="5"/>
  <c r="EV131" i="5"/>
  <c r="EV130" i="5"/>
  <c r="EV129" i="5"/>
  <c r="EW121" i="5"/>
  <c r="EV121" i="5"/>
  <c r="EW120" i="5"/>
  <c r="EV120" i="5"/>
  <c r="EV116" i="5"/>
  <c r="EV115" i="5"/>
  <c r="EV103" i="5"/>
  <c r="EV102" i="5"/>
  <c r="EV101" i="5"/>
  <c r="EV87" i="5"/>
  <c r="EV84" i="5"/>
  <c r="EV81" i="5"/>
  <c r="EV80" i="5"/>
  <c r="EW69" i="5"/>
  <c r="EV69" i="5"/>
  <c r="EV68" i="5"/>
  <c r="EV55" i="5"/>
  <c r="EV54" i="5"/>
  <c r="EV43" i="5"/>
  <c r="EV37" i="5"/>
  <c r="EV31" i="5"/>
  <c r="EV25" i="5"/>
  <c r="EV24" i="5"/>
  <c r="EV23" i="5"/>
  <c r="EV8" i="5"/>
  <c r="ES329" i="5"/>
  <c r="ES318" i="5"/>
  <c r="ES313" i="5"/>
  <c r="ES306" i="5"/>
  <c r="ES302" i="5"/>
  <c r="ES298" i="5"/>
  <c r="ET295" i="5"/>
  <c r="ES295" i="5"/>
  <c r="ES294" i="5"/>
  <c r="ES293" i="5"/>
  <c r="ES260" i="5"/>
  <c r="ES230" i="5"/>
  <c r="ES225" i="5"/>
  <c r="ES224" i="5"/>
  <c r="ES223" i="5"/>
  <c r="ES199" i="5"/>
  <c r="ES197" i="5"/>
  <c r="ES195" i="5"/>
  <c r="ES188" i="5"/>
  <c r="ES187" i="5"/>
  <c r="ES186" i="5"/>
  <c r="ES163" i="5"/>
  <c r="ES162" i="5"/>
  <c r="ES151" i="5"/>
  <c r="ES150" i="5"/>
  <c r="ES143" i="5"/>
  <c r="ES142" i="5"/>
  <c r="ES139" i="5"/>
  <c r="ES138" i="5"/>
  <c r="ET131" i="5"/>
  <c r="ES131" i="5"/>
  <c r="ES130" i="5"/>
  <c r="ES129" i="5"/>
  <c r="ET121" i="5"/>
  <c r="ES121" i="5"/>
  <c r="ET120" i="5"/>
  <c r="ES120" i="5"/>
  <c r="ES116" i="5"/>
  <c r="ES115" i="5"/>
  <c r="ES103" i="5"/>
  <c r="ES102" i="5"/>
  <c r="ES101" i="5"/>
  <c r="ES87" i="5"/>
  <c r="ES84" i="5"/>
  <c r="ES81" i="5"/>
  <c r="ES80" i="5"/>
  <c r="ET69" i="5"/>
  <c r="ES69" i="5"/>
  <c r="ES68" i="5"/>
  <c r="ES55" i="5"/>
  <c r="ES54" i="5"/>
  <c r="ES43" i="5"/>
  <c r="ES37" i="5"/>
  <c r="ES31" i="5"/>
  <c r="ES25" i="5"/>
  <c r="ES24" i="5"/>
  <c r="ES23" i="5"/>
  <c r="ES8" i="5"/>
  <c r="FV1" i="5" l="1"/>
  <c r="FW337" i="5"/>
  <c r="F14" i="63"/>
  <c r="F16" i="63" s="1"/>
  <c r="D11" i="62"/>
  <c r="FK335" i="5"/>
  <c r="Q13" i="61" s="1"/>
  <c r="FK332" i="5"/>
  <c r="Q12" i="61" s="1"/>
  <c r="FK333" i="5"/>
  <c r="N7" i="60"/>
  <c r="N9" i="60" s="1"/>
  <c r="N8" i="61"/>
  <c r="N6" i="61"/>
  <c r="N5" i="61"/>
  <c r="FH333" i="5"/>
  <c r="FH332" i="5"/>
  <c r="FH335" i="5"/>
  <c r="FE333" i="5"/>
  <c r="FE332" i="5"/>
  <c r="FE335" i="5"/>
  <c r="FB333" i="5"/>
  <c r="FB335" i="5"/>
  <c r="FC9" i="5"/>
  <c r="FB332" i="5"/>
  <c r="EC113" i="4"/>
  <c r="EC1" i="4" s="1"/>
  <c r="EY333" i="5"/>
  <c r="EY335" i="5"/>
  <c r="EY260" i="5"/>
  <c r="EY332" i="5" s="1"/>
  <c r="ES333" i="5"/>
  <c r="EV260" i="5"/>
  <c r="EV332" i="5" s="1"/>
  <c r="EV333" i="5"/>
  <c r="EV335" i="5"/>
  <c r="ES335" i="5"/>
  <c r="ES332" i="5"/>
  <c r="DZ33" i="4"/>
  <c r="DZ111" i="4"/>
  <c r="EA52" i="4"/>
  <c r="ED52" i="4" s="1"/>
  <c r="EG52" i="4" s="1"/>
  <c r="EA46" i="4"/>
  <c r="ED46" i="4" s="1"/>
  <c r="EG46" i="4" s="1"/>
  <c r="EA77" i="4"/>
  <c r="ED77" i="4" s="1"/>
  <c r="EG77" i="4" s="1"/>
  <c r="F29" i="63" l="1"/>
  <c r="N9" i="61"/>
  <c r="EY337" i="5"/>
  <c r="EY1" i="5" s="1"/>
  <c r="K6" i="60"/>
  <c r="K6" i="61"/>
  <c r="K8" i="61"/>
  <c r="K8" i="60"/>
  <c r="Q14" i="61"/>
  <c r="FK337" i="5"/>
  <c r="FK1" i="5" s="1"/>
  <c r="N13" i="60"/>
  <c r="N13" i="61"/>
  <c r="N12" i="60"/>
  <c r="N12" i="61"/>
  <c r="FH337" i="5"/>
  <c r="FH1" i="5" s="1"/>
  <c r="FC10" i="5"/>
  <c r="FF9" i="5"/>
  <c r="FE337" i="5"/>
  <c r="FE1" i="5" s="1"/>
  <c r="FB337" i="5"/>
  <c r="FB1" i="5" s="1"/>
  <c r="EV337" i="5"/>
  <c r="EV1" i="5" s="1"/>
  <c r="ES337" i="5"/>
  <c r="ES1" i="5" s="1"/>
  <c r="EA43" i="4"/>
  <c r="ED43" i="4" s="1"/>
  <c r="EG43" i="4" s="1"/>
  <c r="DZ115" i="4"/>
  <c r="K6" i="59"/>
  <c r="DZ89" i="4"/>
  <c r="K8" i="59"/>
  <c r="DZ22" i="4"/>
  <c r="L25" i="59"/>
  <c r="K25" i="59"/>
  <c r="I25" i="59"/>
  <c r="H25" i="59"/>
  <c r="F25" i="59"/>
  <c r="E25" i="59"/>
  <c r="D25" i="59"/>
  <c r="C25" i="59"/>
  <c r="D14" i="59"/>
  <c r="EP329" i="5"/>
  <c r="EP318" i="5"/>
  <c r="EP313" i="5"/>
  <c r="EP306" i="5"/>
  <c r="EP302" i="5"/>
  <c r="EP298" i="5"/>
  <c r="EQ295" i="5"/>
  <c r="EP295" i="5"/>
  <c r="EP294" i="5"/>
  <c r="EP293" i="5"/>
  <c r="EP260" i="5"/>
  <c r="EP230" i="5"/>
  <c r="EP225" i="5"/>
  <c r="EP224" i="5"/>
  <c r="EP223" i="5"/>
  <c r="EP199" i="5"/>
  <c r="EP197" i="5"/>
  <c r="EP195" i="5"/>
  <c r="EP188" i="5"/>
  <c r="EP187" i="5"/>
  <c r="EP186" i="5"/>
  <c r="EP163" i="5"/>
  <c r="EP162" i="5"/>
  <c r="EP151" i="5"/>
  <c r="EP150" i="5"/>
  <c r="EP143" i="5"/>
  <c r="EP142" i="5"/>
  <c r="EP139" i="5"/>
  <c r="EP138" i="5"/>
  <c r="EQ131" i="5"/>
  <c r="EP131" i="5"/>
  <c r="EP130" i="5"/>
  <c r="EP129" i="5"/>
  <c r="EQ121" i="5"/>
  <c r="EP121" i="5"/>
  <c r="EQ120" i="5"/>
  <c r="EP120" i="5"/>
  <c r="EP116" i="5"/>
  <c r="EP115" i="5"/>
  <c r="EP103" i="5"/>
  <c r="EP102" i="5"/>
  <c r="EP101" i="5"/>
  <c r="EP87" i="5"/>
  <c r="EP84" i="5"/>
  <c r="EP81" i="5"/>
  <c r="EP80" i="5"/>
  <c r="EQ69" i="5"/>
  <c r="EP69" i="5"/>
  <c r="EP68" i="5"/>
  <c r="EP55" i="5"/>
  <c r="EP54" i="5"/>
  <c r="EP43" i="5"/>
  <c r="EP37" i="5"/>
  <c r="EP31" i="5"/>
  <c r="EP25" i="5"/>
  <c r="EP24" i="5"/>
  <c r="EP23" i="5"/>
  <c r="EP8" i="5"/>
  <c r="DX39" i="4"/>
  <c r="EA39" i="4" s="1"/>
  <c r="ED39" i="4" s="1"/>
  <c r="EG39" i="4" s="1"/>
  <c r="DU111" i="4"/>
  <c r="C6" i="63" s="1"/>
  <c r="DU89" i="4"/>
  <c r="C7" i="63" s="1"/>
  <c r="DX28" i="4"/>
  <c r="EA28" i="4" s="1"/>
  <c r="ED28" i="4" s="1"/>
  <c r="EG28" i="4" s="1"/>
  <c r="I25" i="58"/>
  <c r="H25" i="58"/>
  <c r="F25" i="58"/>
  <c r="E25" i="58"/>
  <c r="D25" i="58"/>
  <c r="C25" i="58"/>
  <c r="D14" i="58"/>
  <c r="DX102" i="4"/>
  <c r="EA102" i="4" s="1"/>
  <c r="ED102" i="4" s="1"/>
  <c r="EG102" i="4" s="1"/>
  <c r="DW115" i="4"/>
  <c r="DW111" i="4"/>
  <c r="DX105" i="4"/>
  <c r="DX104" i="4"/>
  <c r="EA104" i="4" s="1"/>
  <c r="ED104" i="4" s="1"/>
  <c r="EG104" i="4" s="1"/>
  <c r="DX103" i="4"/>
  <c r="EA103" i="4" s="1"/>
  <c r="ED103" i="4" s="1"/>
  <c r="EG103" i="4" s="1"/>
  <c r="DX101" i="4"/>
  <c r="EA101" i="4" s="1"/>
  <c r="ED101" i="4" s="1"/>
  <c r="EG101" i="4" s="1"/>
  <c r="DX100" i="4"/>
  <c r="EA100" i="4" s="1"/>
  <c r="ED100" i="4" s="1"/>
  <c r="EG100" i="4" s="1"/>
  <c r="DX99" i="4"/>
  <c r="EA99" i="4" s="1"/>
  <c r="ED99" i="4" s="1"/>
  <c r="EG99" i="4" s="1"/>
  <c r="DX98" i="4"/>
  <c r="EA98" i="4" s="1"/>
  <c r="ED98" i="4" s="1"/>
  <c r="EG98" i="4" s="1"/>
  <c r="DX97" i="4"/>
  <c r="EA97" i="4" s="1"/>
  <c r="ED97" i="4" s="1"/>
  <c r="EG97" i="4" s="1"/>
  <c r="DX96" i="4"/>
  <c r="EA96" i="4" s="1"/>
  <c r="ED96" i="4" s="1"/>
  <c r="EG96" i="4" s="1"/>
  <c r="DX95" i="4"/>
  <c r="EA95" i="4" s="1"/>
  <c r="ED95" i="4" s="1"/>
  <c r="EG95" i="4" s="1"/>
  <c r="DW89" i="4"/>
  <c r="DX87" i="4"/>
  <c r="EA87" i="4" s="1"/>
  <c r="ED87" i="4" s="1"/>
  <c r="EG87" i="4" s="1"/>
  <c r="DX86" i="4"/>
  <c r="EA86" i="4" s="1"/>
  <c r="ED86" i="4" s="1"/>
  <c r="EG86" i="4" s="1"/>
  <c r="DX84" i="4"/>
  <c r="EA84" i="4" s="1"/>
  <c r="ED84" i="4" s="1"/>
  <c r="EG84" i="4" s="1"/>
  <c r="DX83" i="4"/>
  <c r="EA83" i="4" s="1"/>
  <c r="ED83" i="4" s="1"/>
  <c r="EG83" i="4" s="1"/>
  <c r="DX82" i="4"/>
  <c r="EA82" i="4" s="1"/>
  <c r="ED82" i="4" s="1"/>
  <c r="EG82" i="4" s="1"/>
  <c r="DX81" i="4"/>
  <c r="EA81" i="4" s="1"/>
  <c r="ED81" i="4" s="1"/>
  <c r="EG81" i="4" s="1"/>
  <c r="DX80" i="4"/>
  <c r="EA80" i="4" s="1"/>
  <c r="ED80" i="4" s="1"/>
  <c r="EG80" i="4" s="1"/>
  <c r="DX79" i="4"/>
  <c r="EA79" i="4" s="1"/>
  <c r="ED79" i="4" s="1"/>
  <c r="EG79" i="4" s="1"/>
  <c r="DX75" i="4"/>
  <c r="EA75" i="4" s="1"/>
  <c r="ED75" i="4" s="1"/>
  <c r="EG75" i="4" s="1"/>
  <c r="DX73" i="4"/>
  <c r="EA73" i="4" s="1"/>
  <c r="ED73" i="4" s="1"/>
  <c r="EG73" i="4" s="1"/>
  <c r="DX68" i="4"/>
  <c r="EA68" i="4" s="1"/>
  <c r="ED68" i="4" s="1"/>
  <c r="DX67" i="4"/>
  <c r="EA67" i="4" s="1"/>
  <c r="ED67" i="4" s="1"/>
  <c r="EG67" i="4" s="1"/>
  <c r="DX66" i="4"/>
  <c r="EA66" i="4" s="1"/>
  <c r="ED66" i="4" s="1"/>
  <c r="EG66" i="4" s="1"/>
  <c r="DX61" i="4"/>
  <c r="EA61" i="4" s="1"/>
  <c r="ED61" i="4" s="1"/>
  <c r="EG61" i="4" s="1"/>
  <c r="DX57" i="4"/>
  <c r="EA57" i="4" s="1"/>
  <c r="ED57" i="4" s="1"/>
  <c r="EG57" i="4" s="1"/>
  <c r="DX56" i="4"/>
  <c r="EA56" i="4" s="1"/>
  <c r="ED56" i="4" s="1"/>
  <c r="EG56" i="4" s="1"/>
  <c r="DX49" i="4"/>
  <c r="EA49" i="4" s="1"/>
  <c r="ED49" i="4" s="1"/>
  <c r="EG49" i="4" s="1"/>
  <c r="DX48" i="4"/>
  <c r="EA48" i="4" s="1"/>
  <c r="ED48" i="4" s="1"/>
  <c r="EG48" i="4" s="1"/>
  <c r="DX38" i="4"/>
  <c r="EA38" i="4" s="1"/>
  <c r="ED38" i="4" s="1"/>
  <c r="EG38" i="4" s="1"/>
  <c r="DX35" i="4"/>
  <c r="EA35" i="4" s="1"/>
  <c r="ED35" i="4" s="1"/>
  <c r="EG35" i="4" s="1"/>
  <c r="DW33" i="4"/>
  <c r="DX31" i="4"/>
  <c r="EA31" i="4" s="1"/>
  <c r="ED31" i="4" s="1"/>
  <c r="EG31" i="4" s="1"/>
  <c r="DX30" i="4"/>
  <c r="EA30" i="4" s="1"/>
  <c r="ED30" i="4" s="1"/>
  <c r="EG30" i="4" s="1"/>
  <c r="DX29" i="4"/>
  <c r="EA29" i="4" s="1"/>
  <c r="ED29" i="4" s="1"/>
  <c r="EG29" i="4" s="1"/>
  <c r="DX27" i="4"/>
  <c r="EA27" i="4" s="1"/>
  <c r="ED27" i="4" s="1"/>
  <c r="DX26" i="4"/>
  <c r="EA26" i="4" s="1"/>
  <c r="ED26" i="4" s="1"/>
  <c r="EG26" i="4" s="1"/>
  <c r="DX25" i="4"/>
  <c r="EA25" i="4" s="1"/>
  <c r="ED25" i="4" s="1"/>
  <c r="EG25" i="4" s="1"/>
  <c r="DX24" i="4"/>
  <c r="EA24" i="4" s="1"/>
  <c r="ED24" i="4" s="1"/>
  <c r="DW22" i="4"/>
  <c r="DX21" i="4"/>
  <c r="EA21" i="4" s="1"/>
  <c r="ED21" i="4" s="1"/>
  <c r="EG21" i="4" s="1"/>
  <c r="DX18" i="4"/>
  <c r="EA18" i="4" s="1"/>
  <c r="ED18" i="4" s="1"/>
  <c r="EG18" i="4" s="1"/>
  <c r="DX17" i="4"/>
  <c r="EA17" i="4" s="1"/>
  <c r="ED17" i="4" s="1"/>
  <c r="EG17" i="4" s="1"/>
  <c r="DX16" i="4"/>
  <c r="EA16" i="4" s="1"/>
  <c r="ED16" i="4" s="1"/>
  <c r="EG16" i="4" s="1"/>
  <c r="DX15" i="4"/>
  <c r="EA15" i="4" s="1"/>
  <c r="ED15" i="4" s="1"/>
  <c r="EG15" i="4" s="1"/>
  <c r="DX13" i="4"/>
  <c r="EA13" i="4" s="1"/>
  <c r="ED13" i="4" s="1"/>
  <c r="EG13" i="4" s="1"/>
  <c r="DX12" i="4"/>
  <c r="EA12" i="4" s="1"/>
  <c r="ED12" i="4" s="1"/>
  <c r="EG12" i="4" s="1"/>
  <c r="DX11" i="4"/>
  <c r="EA11" i="4" s="1"/>
  <c r="ED11" i="4" s="1"/>
  <c r="EG11" i="4" s="1"/>
  <c r="DX10" i="4"/>
  <c r="EA10" i="4" s="1"/>
  <c r="ED10" i="4" s="1"/>
  <c r="EG10" i="4" s="1"/>
  <c r="DX9" i="4"/>
  <c r="EA9" i="4" s="1"/>
  <c r="ED9" i="4" s="1"/>
  <c r="EG9" i="4" s="1"/>
  <c r="DX8" i="4"/>
  <c r="EA8" i="4" s="1"/>
  <c r="ED8" i="4" s="1"/>
  <c r="EG8" i="4" s="1"/>
  <c r="DX7" i="4"/>
  <c r="EA7" i="4" s="1"/>
  <c r="ED7" i="4" s="1"/>
  <c r="EG7" i="4" s="1"/>
  <c r="DX6" i="4"/>
  <c r="EA6" i="4" s="1"/>
  <c r="ED6" i="4" s="1"/>
  <c r="EG6" i="4" s="1"/>
  <c r="DX5" i="4"/>
  <c r="EN315" i="5"/>
  <c r="EQ315" i="5" s="1"/>
  <c r="ET315" i="5" s="1"/>
  <c r="EW315" i="5" s="1"/>
  <c r="EZ315" i="5" s="1"/>
  <c r="FC315" i="5" s="1"/>
  <c r="FF315" i="5" s="1"/>
  <c r="FI315" i="5" s="1"/>
  <c r="FL315" i="5" s="1"/>
  <c r="FO315" i="5" s="1"/>
  <c r="EM329" i="5"/>
  <c r="EN252" i="5"/>
  <c r="EQ252" i="5" s="1"/>
  <c r="ET252" i="5" s="1"/>
  <c r="EW252" i="5" s="1"/>
  <c r="EZ252" i="5" s="1"/>
  <c r="FC252" i="5" s="1"/>
  <c r="FF252" i="5" s="1"/>
  <c r="FI252" i="5" s="1"/>
  <c r="FL252" i="5" s="1"/>
  <c r="FO252" i="5" s="1"/>
  <c r="EN251" i="5"/>
  <c r="EQ251" i="5" s="1"/>
  <c r="ET251" i="5" s="1"/>
  <c r="EW251" i="5" s="1"/>
  <c r="EZ251" i="5" s="1"/>
  <c r="FC251" i="5" s="1"/>
  <c r="FF251" i="5" s="1"/>
  <c r="FI251" i="5" s="1"/>
  <c r="FL251" i="5" s="1"/>
  <c r="FO251" i="5" s="1"/>
  <c r="EN250" i="5"/>
  <c r="EQ250" i="5" s="1"/>
  <c r="ET250" i="5" s="1"/>
  <c r="EW250" i="5" s="1"/>
  <c r="EZ250" i="5" s="1"/>
  <c r="FC250" i="5" s="1"/>
  <c r="FF250" i="5" s="1"/>
  <c r="FI250" i="5" s="1"/>
  <c r="FL250" i="5" s="1"/>
  <c r="FO250" i="5" s="1"/>
  <c r="EN249" i="5"/>
  <c r="EQ249" i="5" s="1"/>
  <c r="ET249" i="5" s="1"/>
  <c r="EW249" i="5" s="1"/>
  <c r="EZ249" i="5" s="1"/>
  <c r="FC249" i="5" s="1"/>
  <c r="FF249" i="5" s="1"/>
  <c r="FI249" i="5" s="1"/>
  <c r="FL249" i="5" s="1"/>
  <c r="FO249" i="5" s="1"/>
  <c r="EN248" i="5"/>
  <c r="EQ248" i="5" s="1"/>
  <c r="ET248" i="5" s="1"/>
  <c r="EW248" i="5" s="1"/>
  <c r="EZ248" i="5" s="1"/>
  <c r="FC248" i="5" s="1"/>
  <c r="FF248" i="5" s="1"/>
  <c r="FI248" i="5" s="1"/>
  <c r="FL248" i="5" s="1"/>
  <c r="FO248" i="5" s="1"/>
  <c r="EN246" i="5"/>
  <c r="EQ246" i="5" s="1"/>
  <c r="ET246" i="5" s="1"/>
  <c r="EW246" i="5" s="1"/>
  <c r="EZ246" i="5" s="1"/>
  <c r="FC246" i="5" s="1"/>
  <c r="FF246" i="5" s="1"/>
  <c r="FI246" i="5" s="1"/>
  <c r="FL246" i="5" s="1"/>
  <c r="FO246" i="5" s="1"/>
  <c r="EN245" i="5"/>
  <c r="EQ245" i="5" s="1"/>
  <c r="ET245" i="5" s="1"/>
  <c r="EW245" i="5" s="1"/>
  <c r="EZ245" i="5" s="1"/>
  <c r="FC245" i="5" s="1"/>
  <c r="FF245" i="5" s="1"/>
  <c r="FI245" i="5" s="1"/>
  <c r="FL245" i="5" s="1"/>
  <c r="FO245" i="5" s="1"/>
  <c r="EN244" i="5"/>
  <c r="EQ244" i="5" s="1"/>
  <c r="ET244" i="5" s="1"/>
  <c r="EW244" i="5" s="1"/>
  <c r="EZ244" i="5" s="1"/>
  <c r="FC244" i="5" s="1"/>
  <c r="FF244" i="5" s="1"/>
  <c r="FI244" i="5" s="1"/>
  <c r="FL244" i="5" s="1"/>
  <c r="FO244" i="5" s="1"/>
  <c r="EN240" i="5"/>
  <c r="EQ240" i="5" s="1"/>
  <c r="ET240" i="5" s="1"/>
  <c r="EW240" i="5" s="1"/>
  <c r="EZ240" i="5" s="1"/>
  <c r="FC240" i="5" s="1"/>
  <c r="FF240" i="5" s="1"/>
  <c r="EN88" i="5"/>
  <c r="EQ88" i="5" s="1"/>
  <c r="ET88" i="5" s="1"/>
  <c r="EN89" i="5"/>
  <c r="EQ89" i="5" s="1"/>
  <c r="ET89" i="5" s="1"/>
  <c r="EW89" i="5" s="1"/>
  <c r="EZ89" i="5" s="1"/>
  <c r="FC89" i="5" s="1"/>
  <c r="FF89" i="5" s="1"/>
  <c r="FI89" i="5" s="1"/>
  <c r="FL89" i="5" s="1"/>
  <c r="FO89" i="5" s="1"/>
  <c r="EN90" i="5"/>
  <c r="EQ90" i="5" s="1"/>
  <c r="ET90" i="5" s="1"/>
  <c r="EW90" i="5" s="1"/>
  <c r="EZ90" i="5" s="1"/>
  <c r="FC90" i="5" s="1"/>
  <c r="FF90" i="5" s="1"/>
  <c r="FI90" i="5" s="1"/>
  <c r="FL90" i="5" s="1"/>
  <c r="FO90" i="5" s="1"/>
  <c r="EN91" i="5"/>
  <c r="EQ91" i="5" s="1"/>
  <c r="ET91" i="5" s="1"/>
  <c r="EW91" i="5" s="1"/>
  <c r="EZ91" i="5" s="1"/>
  <c r="FC91" i="5" s="1"/>
  <c r="FF91" i="5" s="1"/>
  <c r="FI91" i="5" s="1"/>
  <c r="FL91" i="5" s="1"/>
  <c r="FO91" i="5" s="1"/>
  <c r="EM55" i="5"/>
  <c r="EM54" i="5"/>
  <c r="EN325" i="5"/>
  <c r="EQ325" i="5" s="1"/>
  <c r="ET325" i="5" s="1"/>
  <c r="EW325" i="5" s="1"/>
  <c r="EZ325" i="5" s="1"/>
  <c r="FC325" i="5" s="1"/>
  <c r="FF325" i="5" s="1"/>
  <c r="FI325" i="5" s="1"/>
  <c r="FL325" i="5" s="1"/>
  <c r="FO325" i="5" s="1"/>
  <c r="EN319" i="5"/>
  <c r="EQ319" i="5" s="1"/>
  <c r="ET319" i="5" s="1"/>
  <c r="EN155" i="5"/>
  <c r="EQ155" i="5" s="1"/>
  <c r="ET155" i="5" s="1"/>
  <c r="EW155" i="5" s="1"/>
  <c r="EZ155" i="5" s="1"/>
  <c r="FC155" i="5" s="1"/>
  <c r="FF155" i="5" s="1"/>
  <c r="FI155" i="5" s="1"/>
  <c r="FL155" i="5" s="1"/>
  <c r="FO155" i="5" s="1"/>
  <c r="EN326" i="5"/>
  <c r="EQ326" i="5" s="1"/>
  <c r="ET326" i="5" s="1"/>
  <c r="EW326" i="5" s="1"/>
  <c r="EZ326" i="5" s="1"/>
  <c r="FC326" i="5" s="1"/>
  <c r="FF326" i="5" s="1"/>
  <c r="FI326" i="5" s="1"/>
  <c r="FL326" i="5" s="1"/>
  <c r="FO326" i="5" s="1"/>
  <c r="EN324" i="5"/>
  <c r="EQ324" i="5" s="1"/>
  <c r="ET324" i="5" s="1"/>
  <c r="EW324" i="5" s="1"/>
  <c r="EZ324" i="5" s="1"/>
  <c r="FC324" i="5" s="1"/>
  <c r="FF324" i="5" s="1"/>
  <c r="FI324" i="5" s="1"/>
  <c r="FL324" i="5" s="1"/>
  <c r="FO324" i="5" s="1"/>
  <c r="EN323" i="5"/>
  <c r="EQ323" i="5" s="1"/>
  <c r="ET323" i="5" s="1"/>
  <c r="EW323" i="5" s="1"/>
  <c r="EZ323" i="5" s="1"/>
  <c r="FC323" i="5" s="1"/>
  <c r="FF323" i="5" s="1"/>
  <c r="FI323" i="5" s="1"/>
  <c r="FL323" i="5" s="1"/>
  <c r="FO323" i="5" s="1"/>
  <c r="EN322" i="5"/>
  <c r="EQ322" i="5" s="1"/>
  <c r="ET322" i="5" s="1"/>
  <c r="EW322" i="5" s="1"/>
  <c r="EZ322" i="5" s="1"/>
  <c r="FC322" i="5" s="1"/>
  <c r="FF322" i="5" s="1"/>
  <c r="FI322" i="5" s="1"/>
  <c r="FL322" i="5" s="1"/>
  <c r="FO322" i="5" s="1"/>
  <c r="EM318" i="5"/>
  <c r="EN314" i="5"/>
  <c r="EQ314" i="5" s="1"/>
  <c r="ET314" i="5" s="1"/>
  <c r="EM313" i="5"/>
  <c r="EN307" i="5"/>
  <c r="EN313" i="5" s="1"/>
  <c r="EM306" i="5"/>
  <c r="EN303" i="5"/>
  <c r="EN306" i="5" s="1"/>
  <c r="EM302" i="5"/>
  <c r="EN299" i="5"/>
  <c r="EN302" i="5" s="1"/>
  <c r="EM298" i="5"/>
  <c r="EN296" i="5"/>
  <c r="EN298" i="5" s="1"/>
  <c r="EN295" i="5"/>
  <c r="EM295" i="5"/>
  <c r="EM294" i="5"/>
  <c r="EM293" i="5"/>
  <c r="EN291" i="5"/>
  <c r="EQ291" i="5" s="1"/>
  <c r="ET291" i="5" s="1"/>
  <c r="EW291" i="5" s="1"/>
  <c r="EZ291" i="5" s="1"/>
  <c r="FC291" i="5" s="1"/>
  <c r="FF291" i="5" s="1"/>
  <c r="FI291" i="5" s="1"/>
  <c r="FL291" i="5" s="1"/>
  <c r="FO291" i="5" s="1"/>
  <c r="EN290" i="5"/>
  <c r="EQ290" i="5" s="1"/>
  <c r="ET290" i="5" s="1"/>
  <c r="EW290" i="5" s="1"/>
  <c r="EZ290" i="5" s="1"/>
  <c r="FC290" i="5" s="1"/>
  <c r="FF290" i="5" s="1"/>
  <c r="FI290" i="5" s="1"/>
  <c r="FL290" i="5" s="1"/>
  <c r="FO290" i="5" s="1"/>
  <c r="EN289" i="5"/>
  <c r="EQ289" i="5" s="1"/>
  <c r="ET289" i="5" s="1"/>
  <c r="EW289" i="5" s="1"/>
  <c r="EZ289" i="5" s="1"/>
  <c r="FC289" i="5" s="1"/>
  <c r="FF289" i="5" s="1"/>
  <c r="FI289" i="5" s="1"/>
  <c r="FL289" i="5" s="1"/>
  <c r="FO289" i="5" s="1"/>
  <c r="EN288" i="5"/>
  <c r="EQ288" i="5" s="1"/>
  <c r="ET288" i="5" s="1"/>
  <c r="EW288" i="5" s="1"/>
  <c r="EZ288" i="5" s="1"/>
  <c r="FC288" i="5" s="1"/>
  <c r="FF288" i="5" s="1"/>
  <c r="FI288" i="5" s="1"/>
  <c r="FL288" i="5" s="1"/>
  <c r="FO288" i="5" s="1"/>
  <c r="EN287" i="5"/>
  <c r="EQ287" i="5" s="1"/>
  <c r="ET287" i="5" s="1"/>
  <c r="EW287" i="5" s="1"/>
  <c r="EZ287" i="5" s="1"/>
  <c r="FC287" i="5" s="1"/>
  <c r="FF287" i="5" s="1"/>
  <c r="FI287" i="5" s="1"/>
  <c r="FL287" i="5" s="1"/>
  <c r="FO287" i="5" s="1"/>
  <c r="EN286" i="5"/>
  <c r="EQ286" i="5" s="1"/>
  <c r="ET286" i="5" s="1"/>
  <c r="EW286" i="5" s="1"/>
  <c r="EZ286" i="5" s="1"/>
  <c r="FC286" i="5" s="1"/>
  <c r="FF286" i="5" s="1"/>
  <c r="FI286" i="5" s="1"/>
  <c r="FL286" i="5" s="1"/>
  <c r="FO286" i="5" s="1"/>
  <c r="EN285" i="5"/>
  <c r="EQ285" i="5" s="1"/>
  <c r="ET285" i="5" s="1"/>
  <c r="EW285" i="5" s="1"/>
  <c r="EZ285" i="5" s="1"/>
  <c r="FC285" i="5" s="1"/>
  <c r="FF285" i="5" s="1"/>
  <c r="FI285" i="5" s="1"/>
  <c r="FL285" i="5" s="1"/>
  <c r="FO285" i="5" s="1"/>
  <c r="EN284" i="5"/>
  <c r="EQ284" i="5" s="1"/>
  <c r="ET284" i="5" s="1"/>
  <c r="EW284" i="5" s="1"/>
  <c r="EZ284" i="5" s="1"/>
  <c r="FC284" i="5" s="1"/>
  <c r="FF284" i="5" s="1"/>
  <c r="FI284" i="5" s="1"/>
  <c r="FL284" i="5" s="1"/>
  <c r="FO284" i="5" s="1"/>
  <c r="EN283" i="5"/>
  <c r="EQ283" i="5" s="1"/>
  <c r="ET283" i="5" s="1"/>
  <c r="EW283" i="5" s="1"/>
  <c r="EZ283" i="5" s="1"/>
  <c r="FC283" i="5" s="1"/>
  <c r="FF283" i="5" s="1"/>
  <c r="FI283" i="5" s="1"/>
  <c r="FL283" i="5" s="1"/>
  <c r="FO283" i="5" s="1"/>
  <c r="EN282" i="5"/>
  <c r="EN294" i="5" s="1"/>
  <c r="EN281" i="5"/>
  <c r="EQ281" i="5" s="1"/>
  <c r="ET281" i="5" s="1"/>
  <c r="EW281" i="5" s="1"/>
  <c r="EZ281" i="5" s="1"/>
  <c r="FC281" i="5" s="1"/>
  <c r="FF281" i="5" s="1"/>
  <c r="FI281" i="5" s="1"/>
  <c r="FL281" i="5" s="1"/>
  <c r="FO281" i="5" s="1"/>
  <c r="EN280" i="5"/>
  <c r="EQ280" i="5" s="1"/>
  <c r="ET280" i="5" s="1"/>
  <c r="EW280" i="5" s="1"/>
  <c r="EZ280" i="5" s="1"/>
  <c r="FC280" i="5" s="1"/>
  <c r="FF280" i="5" s="1"/>
  <c r="FI280" i="5" s="1"/>
  <c r="FL280" i="5" s="1"/>
  <c r="FO280" i="5" s="1"/>
  <c r="EN279" i="5"/>
  <c r="EQ279" i="5" s="1"/>
  <c r="ET279" i="5" s="1"/>
  <c r="EW279" i="5" s="1"/>
  <c r="EZ279" i="5" s="1"/>
  <c r="FC279" i="5" s="1"/>
  <c r="FF279" i="5" s="1"/>
  <c r="FI279" i="5" s="1"/>
  <c r="FL279" i="5" s="1"/>
  <c r="FO279" i="5" s="1"/>
  <c r="EN278" i="5"/>
  <c r="EQ278" i="5" s="1"/>
  <c r="ET278" i="5" s="1"/>
  <c r="EW278" i="5" s="1"/>
  <c r="EZ278" i="5" s="1"/>
  <c r="FC278" i="5" s="1"/>
  <c r="FF278" i="5" s="1"/>
  <c r="FI278" i="5" s="1"/>
  <c r="FL278" i="5" s="1"/>
  <c r="FO278" i="5" s="1"/>
  <c r="EN277" i="5"/>
  <c r="EQ277" i="5" s="1"/>
  <c r="ET277" i="5" s="1"/>
  <c r="EW277" i="5" s="1"/>
  <c r="EZ277" i="5" s="1"/>
  <c r="FC277" i="5" s="1"/>
  <c r="FF277" i="5" s="1"/>
  <c r="FI277" i="5" s="1"/>
  <c r="FL277" i="5" s="1"/>
  <c r="FO277" i="5" s="1"/>
  <c r="EN276" i="5"/>
  <c r="EN275" i="5"/>
  <c r="EQ275" i="5" s="1"/>
  <c r="ET275" i="5" s="1"/>
  <c r="EW275" i="5" s="1"/>
  <c r="EZ275" i="5" s="1"/>
  <c r="FC275" i="5" s="1"/>
  <c r="FF275" i="5" s="1"/>
  <c r="FI275" i="5" s="1"/>
  <c r="FL275" i="5" s="1"/>
  <c r="FO275" i="5" s="1"/>
  <c r="EN274" i="5"/>
  <c r="EQ274" i="5" s="1"/>
  <c r="ET274" i="5" s="1"/>
  <c r="EW274" i="5" s="1"/>
  <c r="EZ274" i="5" s="1"/>
  <c r="FC274" i="5" s="1"/>
  <c r="FF274" i="5" s="1"/>
  <c r="FI274" i="5" s="1"/>
  <c r="FL274" i="5" s="1"/>
  <c r="FO274" i="5" s="1"/>
  <c r="EN273" i="5"/>
  <c r="EQ273" i="5" s="1"/>
  <c r="ET273" i="5" s="1"/>
  <c r="EW273" i="5" s="1"/>
  <c r="EZ273" i="5" s="1"/>
  <c r="FC273" i="5" s="1"/>
  <c r="FF273" i="5" s="1"/>
  <c r="FI273" i="5" s="1"/>
  <c r="FL273" i="5" s="1"/>
  <c r="FO273" i="5" s="1"/>
  <c r="EN271" i="5"/>
  <c r="EQ271" i="5" s="1"/>
  <c r="ET271" i="5" s="1"/>
  <c r="EW271" i="5" s="1"/>
  <c r="EZ271" i="5" s="1"/>
  <c r="FC271" i="5" s="1"/>
  <c r="FF271" i="5" s="1"/>
  <c r="FI271" i="5" s="1"/>
  <c r="FL271" i="5" s="1"/>
  <c r="FO271" i="5" s="1"/>
  <c r="EN270" i="5"/>
  <c r="EQ270" i="5" s="1"/>
  <c r="ET270" i="5" s="1"/>
  <c r="EW270" i="5" s="1"/>
  <c r="EZ270" i="5" s="1"/>
  <c r="FC270" i="5" s="1"/>
  <c r="FF270" i="5" s="1"/>
  <c r="FI270" i="5" s="1"/>
  <c r="FL270" i="5" s="1"/>
  <c r="FO270" i="5" s="1"/>
  <c r="EN269" i="5"/>
  <c r="EQ269" i="5" s="1"/>
  <c r="ET269" i="5" s="1"/>
  <c r="EW269" i="5" s="1"/>
  <c r="EZ269" i="5" s="1"/>
  <c r="FC269" i="5" s="1"/>
  <c r="FF269" i="5" s="1"/>
  <c r="FI269" i="5" s="1"/>
  <c r="FL269" i="5" s="1"/>
  <c r="FO269" i="5" s="1"/>
  <c r="EN268" i="5"/>
  <c r="EQ268" i="5" s="1"/>
  <c r="ET268" i="5" s="1"/>
  <c r="EW268" i="5" s="1"/>
  <c r="EZ268" i="5" s="1"/>
  <c r="FC268" i="5" s="1"/>
  <c r="FF268" i="5" s="1"/>
  <c r="FI268" i="5" s="1"/>
  <c r="FL268" i="5" s="1"/>
  <c r="FO268" i="5" s="1"/>
  <c r="EN267" i="5"/>
  <c r="EQ267" i="5" s="1"/>
  <c r="ET267" i="5" s="1"/>
  <c r="EW267" i="5" s="1"/>
  <c r="EZ267" i="5" s="1"/>
  <c r="FC267" i="5" s="1"/>
  <c r="FF267" i="5" s="1"/>
  <c r="FI267" i="5" s="1"/>
  <c r="FL267" i="5" s="1"/>
  <c r="FO267" i="5" s="1"/>
  <c r="EN266" i="5"/>
  <c r="EQ266" i="5" s="1"/>
  <c r="ET266" i="5" s="1"/>
  <c r="EW266" i="5" s="1"/>
  <c r="EZ266" i="5" s="1"/>
  <c r="FC266" i="5" s="1"/>
  <c r="FF266" i="5" s="1"/>
  <c r="FI266" i="5" s="1"/>
  <c r="FL266" i="5" s="1"/>
  <c r="FO266" i="5" s="1"/>
  <c r="EN265" i="5"/>
  <c r="EQ265" i="5" s="1"/>
  <c r="ET265" i="5" s="1"/>
  <c r="EW265" i="5" s="1"/>
  <c r="EZ265" i="5" s="1"/>
  <c r="FC265" i="5" s="1"/>
  <c r="FF265" i="5" s="1"/>
  <c r="FI265" i="5" s="1"/>
  <c r="FL265" i="5" s="1"/>
  <c r="FO265" i="5" s="1"/>
  <c r="EN264" i="5"/>
  <c r="EQ264" i="5" s="1"/>
  <c r="ET264" i="5" s="1"/>
  <c r="EW264" i="5" s="1"/>
  <c r="EZ264" i="5" s="1"/>
  <c r="FC264" i="5" s="1"/>
  <c r="FF264" i="5" s="1"/>
  <c r="FI264" i="5" s="1"/>
  <c r="FL264" i="5" s="1"/>
  <c r="FO264" i="5" s="1"/>
  <c r="EN263" i="5"/>
  <c r="EQ263" i="5" s="1"/>
  <c r="ET263" i="5" s="1"/>
  <c r="EW263" i="5" s="1"/>
  <c r="EZ263" i="5" s="1"/>
  <c r="FC263" i="5" s="1"/>
  <c r="FF263" i="5" s="1"/>
  <c r="FI263" i="5" s="1"/>
  <c r="FL263" i="5" s="1"/>
  <c r="FO263" i="5" s="1"/>
  <c r="EN262" i="5"/>
  <c r="EQ262" i="5" s="1"/>
  <c r="ET262" i="5" s="1"/>
  <c r="EN261" i="5"/>
  <c r="EQ261" i="5" s="1"/>
  <c r="ET261" i="5" s="1"/>
  <c r="EW261" i="5" s="1"/>
  <c r="EZ261" i="5" s="1"/>
  <c r="FC261" i="5" s="1"/>
  <c r="EM260" i="5"/>
  <c r="EN258" i="5"/>
  <c r="EQ258" i="5" s="1"/>
  <c r="ET258" i="5" s="1"/>
  <c r="EW258" i="5" s="1"/>
  <c r="EZ258" i="5" s="1"/>
  <c r="FC258" i="5" s="1"/>
  <c r="FF258" i="5" s="1"/>
  <c r="FI258" i="5" s="1"/>
  <c r="FL258" i="5" s="1"/>
  <c r="FO258" i="5" s="1"/>
  <c r="EN257" i="5"/>
  <c r="EQ257" i="5" s="1"/>
  <c r="ET257" i="5" s="1"/>
  <c r="EW257" i="5" s="1"/>
  <c r="EZ257" i="5" s="1"/>
  <c r="FC257" i="5" s="1"/>
  <c r="FF257" i="5" s="1"/>
  <c r="FI257" i="5" s="1"/>
  <c r="FL257" i="5" s="1"/>
  <c r="FO257" i="5" s="1"/>
  <c r="EN256" i="5"/>
  <c r="EQ256" i="5" s="1"/>
  <c r="ET256" i="5" s="1"/>
  <c r="EW256" i="5" s="1"/>
  <c r="EZ256" i="5" s="1"/>
  <c r="FC256" i="5" s="1"/>
  <c r="FF256" i="5" s="1"/>
  <c r="FI256" i="5" s="1"/>
  <c r="FL256" i="5" s="1"/>
  <c r="FO256" i="5" s="1"/>
  <c r="EN255" i="5"/>
  <c r="EQ255" i="5" s="1"/>
  <c r="ET255" i="5" s="1"/>
  <c r="EW255" i="5" s="1"/>
  <c r="EZ255" i="5" s="1"/>
  <c r="FC255" i="5" s="1"/>
  <c r="FF255" i="5" s="1"/>
  <c r="FI255" i="5" s="1"/>
  <c r="FL255" i="5" s="1"/>
  <c r="FO255" i="5" s="1"/>
  <c r="EN254" i="5"/>
  <c r="EQ254" i="5" s="1"/>
  <c r="ET254" i="5" s="1"/>
  <c r="EW254" i="5" s="1"/>
  <c r="EZ254" i="5" s="1"/>
  <c r="FC254" i="5" s="1"/>
  <c r="FF254" i="5" s="1"/>
  <c r="FI254" i="5" s="1"/>
  <c r="FL254" i="5" s="1"/>
  <c r="FO254" i="5" s="1"/>
  <c r="EN237" i="5"/>
  <c r="EQ237" i="5" s="1"/>
  <c r="ET237" i="5" s="1"/>
  <c r="EW237" i="5" s="1"/>
  <c r="EZ237" i="5" s="1"/>
  <c r="FC237" i="5" s="1"/>
  <c r="FF237" i="5" s="1"/>
  <c r="FI237" i="5" s="1"/>
  <c r="FL237" i="5" s="1"/>
  <c r="FO237" i="5" s="1"/>
  <c r="EN236" i="5"/>
  <c r="EQ236" i="5" s="1"/>
  <c r="ET236" i="5" s="1"/>
  <c r="EW236" i="5" s="1"/>
  <c r="EZ236" i="5" s="1"/>
  <c r="FC236" i="5" s="1"/>
  <c r="FF236" i="5" s="1"/>
  <c r="FI236" i="5" s="1"/>
  <c r="FL236" i="5" s="1"/>
  <c r="FO236" i="5" s="1"/>
  <c r="EN235" i="5"/>
  <c r="EQ235" i="5" s="1"/>
  <c r="ET235" i="5" s="1"/>
  <c r="EW235" i="5" s="1"/>
  <c r="EZ235" i="5" s="1"/>
  <c r="FC235" i="5" s="1"/>
  <c r="FF235" i="5" s="1"/>
  <c r="FI235" i="5" s="1"/>
  <c r="FL235" i="5" s="1"/>
  <c r="FO235" i="5" s="1"/>
  <c r="EN234" i="5"/>
  <c r="EQ234" i="5" s="1"/>
  <c r="ET234" i="5" s="1"/>
  <c r="EW234" i="5" s="1"/>
  <c r="EZ234" i="5" s="1"/>
  <c r="FC234" i="5" s="1"/>
  <c r="FF234" i="5" s="1"/>
  <c r="FI234" i="5" s="1"/>
  <c r="FL234" i="5" s="1"/>
  <c r="FO234" i="5" s="1"/>
  <c r="EN233" i="5"/>
  <c r="EQ233" i="5" s="1"/>
  <c r="ET233" i="5" s="1"/>
  <c r="EW233" i="5" s="1"/>
  <c r="EZ233" i="5" s="1"/>
  <c r="FC233" i="5" s="1"/>
  <c r="FF233" i="5" s="1"/>
  <c r="FI233" i="5" s="1"/>
  <c r="FL233" i="5" s="1"/>
  <c r="FO233" i="5" s="1"/>
  <c r="EN232" i="5"/>
  <c r="EQ232" i="5" s="1"/>
  <c r="ET232" i="5" s="1"/>
  <c r="EW232" i="5" s="1"/>
  <c r="EZ232" i="5" s="1"/>
  <c r="FC232" i="5" s="1"/>
  <c r="FF232" i="5" s="1"/>
  <c r="FI232" i="5" s="1"/>
  <c r="FL232" i="5" s="1"/>
  <c r="FO232" i="5" s="1"/>
  <c r="EN231" i="5"/>
  <c r="EQ231" i="5" s="1"/>
  <c r="ET231" i="5" s="1"/>
  <c r="EM230" i="5"/>
  <c r="EN228" i="5"/>
  <c r="EQ228" i="5" s="1"/>
  <c r="ET228" i="5" s="1"/>
  <c r="EW228" i="5" s="1"/>
  <c r="EZ228" i="5" s="1"/>
  <c r="FC228" i="5" s="1"/>
  <c r="FF228" i="5" s="1"/>
  <c r="FI228" i="5" s="1"/>
  <c r="FL228" i="5" s="1"/>
  <c r="FO228" i="5" s="1"/>
  <c r="EN227" i="5"/>
  <c r="EQ227" i="5" s="1"/>
  <c r="ET227" i="5" s="1"/>
  <c r="EW227" i="5" s="1"/>
  <c r="EZ227" i="5" s="1"/>
  <c r="FC227" i="5" s="1"/>
  <c r="FF227" i="5" s="1"/>
  <c r="FI227" i="5" s="1"/>
  <c r="FL227" i="5" s="1"/>
  <c r="FO227" i="5" s="1"/>
  <c r="EN226" i="5"/>
  <c r="EQ226" i="5" s="1"/>
  <c r="ET226" i="5" s="1"/>
  <c r="EM225" i="5"/>
  <c r="EM224" i="5"/>
  <c r="EM223" i="5"/>
  <c r="EN220" i="5"/>
  <c r="EQ220" i="5" s="1"/>
  <c r="ET220" i="5" s="1"/>
  <c r="EN218" i="5"/>
  <c r="EQ218" i="5" s="1"/>
  <c r="ET218" i="5" s="1"/>
  <c r="EW218" i="5" s="1"/>
  <c r="EZ218" i="5" s="1"/>
  <c r="FC218" i="5" s="1"/>
  <c r="FF218" i="5" s="1"/>
  <c r="FI218" i="5" s="1"/>
  <c r="FL218" i="5" s="1"/>
  <c r="FO218" i="5" s="1"/>
  <c r="EN217" i="5"/>
  <c r="EQ217" i="5" s="1"/>
  <c r="ET217" i="5" s="1"/>
  <c r="EW217" i="5" s="1"/>
  <c r="EZ217" i="5" s="1"/>
  <c r="FC217" i="5" s="1"/>
  <c r="FF217" i="5" s="1"/>
  <c r="FI217" i="5" s="1"/>
  <c r="FL217" i="5" s="1"/>
  <c r="FO217" i="5" s="1"/>
  <c r="EN216" i="5"/>
  <c r="EQ216" i="5" s="1"/>
  <c r="ET216" i="5" s="1"/>
  <c r="EW216" i="5" s="1"/>
  <c r="EZ216" i="5" s="1"/>
  <c r="FC216" i="5" s="1"/>
  <c r="FF216" i="5" s="1"/>
  <c r="FI216" i="5" s="1"/>
  <c r="FL216" i="5" s="1"/>
  <c r="FO216" i="5" s="1"/>
  <c r="EN215" i="5"/>
  <c r="EQ215" i="5" s="1"/>
  <c r="ET215" i="5" s="1"/>
  <c r="EW215" i="5" s="1"/>
  <c r="EZ215" i="5" s="1"/>
  <c r="FC215" i="5" s="1"/>
  <c r="FF215" i="5" s="1"/>
  <c r="FI215" i="5" s="1"/>
  <c r="FL215" i="5" s="1"/>
  <c r="FO215" i="5" s="1"/>
  <c r="EN213" i="5"/>
  <c r="EQ213" i="5" s="1"/>
  <c r="ET213" i="5" s="1"/>
  <c r="EW213" i="5" s="1"/>
  <c r="EZ213" i="5" s="1"/>
  <c r="FC213" i="5" s="1"/>
  <c r="FF213" i="5" s="1"/>
  <c r="FI213" i="5" s="1"/>
  <c r="FL213" i="5" s="1"/>
  <c r="FO213" i="5" s="1"/>
  <c r="EN212" i="5"/>
  <c r="EQ212" i="5" s="1"/>
  <c r="ET212" i="5" s="1"/>
  <c r="EW212" i="5" s="1"/>
  <c r="EZ212" i="5" s="1"/>
  <c r="FC212" i="5" s="1"/>
  <c r="FF212" i="5" s="1"/>
  <c r="FI212" i="5" s="1"/>
  <c r="FL212" i="5" s="1"/>
  <c r="FO212" i="5" s="1"/>
  <c r="EN211" i="5"/>
  <c r="EN224" i="5" s="1"/>
  <c r="EN210" i="5"/>
  <c r="EQ210" i="5" s="1"/>
  <c r="ET210" i="5" s="1"/>
  <c r="EW210" i="5" s="1"/>
  <c r="EZ210" i="5" s="1"/>
  <c r="FC210" i="5" s="1"/>
  <c r="FF210" i="5" s="1"/>
  <c r="FI210" i="5" s="1"/>
  <c r="FL210" i="5" s="1"/>
  <c r="FO210" i="5" s="1"/>
  <c r="EN209" i="5"/>
  <c r="EQ209" i="5" s="1"/>
  <c r="ET209" i="5" s="1"/>
  <c r="EW209" i="5" s="1"/>
  <c r="EZ209" i="5" s="1"/>
  <c r="FC209" i="5" s="1"/>
  <c r="FF209" i="5" s="1"/>
  <c r="FI209" i="5" s="1"/>
  <c r="FL209" i="5" s="1"/>
  <c r="FO209" i="5" s="1"/>
  <c r="EN208" i="5"/>
  <c r="EQ208" i="5" s="1"/>
  <c r="ET208" i="5" s="1"/>
  <c r="EW208" i="5" s="1"/>
  <c r="EZ208" i="5" s="1"/>
  <c r="FC208" i="5" s="1"/>
  <c r="FF208" i="5" s="1"/>
  <c r="FI208" i="5" s="1"/>
  <c r="FL208" i="5" s="1"/>
  <c r="FO208" i="5" s="1"/>
  <c r="EN207" i="5"/>
  <c r="EQ207" i="5" s="1"/>
  <c r="ET207" i="5" s="1"/>
  <c r="EW207" i="5" s="1"/>
  <c r="EZ207" i="5" s="1"/>
  <c r="FC207" i="5" s="1"/>
  <c r="FF207" i="5" s="1"/>
  <c r="FI207" i="5" s="1"/>
  <c r="FL207" i="5" s="1"/>
  <c r="FO207" i="5" s="1"/>
  <c r="EN206" i="5"/>
  <c r="EQ206" i="5" s="1"/>
  <c r="ET206" i="5" s="1"/>
  <c r="EW206" i="5" s="1"/>
  <c r="EZ206" i="5" s="1"/>
  <c r="FC206" i="5" s="1"/>
  <c r="FF206" i="5" s="1"/>
  <c r="FI206" i="5" s="1"/>
  <c r="FL206" i="5" s="1"/>
  <c r="FO206" i="5" s="1"/>
  <c r="EN205" i="5"/>
  <c r="EQ205" i="5" s="1"/>
  <c r="ET205" i="5" s="1"/>
  <c r="EW205" i="5" s="1"/>
  <c r="EZ205" i="5" s="1"/>
  <c r="FC205" i="5" s="1"/>
  <c r="FF205" i="5" s="1"/>
  <c r="FI205" i="5" s="1"/>
  <c r="FL205" i="5" s="1"/>
  <c r="FO205" i="5" s="1"/>
  <c r="EN204" i="5"/>
  <c r="EQ204" i="5" s="1"/>
  <c r="ET204" i="5" s="1"/>
  <c r="EW204" i="5" s="1"/>
  <c r="EZ204" i="5" s="1"/>
  <c r="FC204" i="5" s="1"/>
  <c r="FF204" i="5" s="1"/>
  <c r="FI204" i="5" s="1"/>
  <c r="FL204" i="5" s="1"/>
  <c r="FO204" i="5" s="1"/>
  <c r="EN203" i="5"/>
  <c r="EQ203" i="5" s="1"/>
  <c r="ET203" i="5" s="1"/>
  <c r="EW203" i="5" s="1"/>
  <c r="EZ203" i="5" s="1"/>
  <c r="FC203" i="5" s="1"/>
  <c r="FF203" i="5" s="1"/>
  <c r="FI203" i="5" s="1"/>
  <c r="FL203" i="5" s="1"/>
  <c r="FO203" i="5" s="1"/>
  <c r="EN201" i="5"/>
  <c r="EQ201" i="5" s="1"/>
  <c r="ET201" i="5" s="1"/>
  <c r="EW201" i="5" s="1"/>
  <c r="EZ201" i="5" s="1"/>
  <c r="FC201" i="5" s="1"/>
  <c r="FF201" i="5" s="1"/>
  <c r="FI201" i="5" s="1"/>
  <c r="FL201" i="5" s="1"/>
  <c r="FO201" i="5" s="1"/>
  <c r="EN200" i="5"/>
  <c r="EQ200" i="5" s="1"/>
  <c r="ET200" i="5" s="1"/>
  <c r="EM199" i="5"/>
  <c r="EN198" i="5"/>
  <c r="EN199" i="5" s="1"/>
  <c r="EM197" i="5"/>
  <c r="EN196" i="5"/>
  <c r="EN197" i="5" s="1"/>
  <c r="EM195" i="5"/>
  <c r="EN191" i="5"/>
  <c r="EQ191" i="5" s="1"/>
  <c r="ET191" i="5" s="1"/>
  <c r="EW191" i="5" s="1"/>
  <c r="EZ191" i="5" s="1"/>
  <c r="FC191" i="5" s="1"/>
  <c r="FF191" i="5" s="1"/>
  <c r="FI191" i="5" s="1"/>
  <c r="FL191" i="5" s="1"/>
  <c r="FO191" i="5" s="1"/>
  <c r="EN190" i="5"/>
  <c r="EQ190" i="5" s="1"/>
  <c r="ET190" i="5" s="1"/>
  <c r="EW190" i="5" s="1"/>
  <c r="EZ190" i="5" s="1"/>
  <c r="FC190" i="5" s="1"/>
  <c r="FF190" i="5" s="1"/>
  <c r="FI190" i="5" s="1"/>
  <c r="FL190" i="5" s="1"/>
  <c r="FO190" i="5" s="1"/>
  <c r="EN189" i="5"/>
  <c r="EQ189" i="5" s="1"/>
  <c r="ET189" i="5" s="1"/>
  <c r="EM188" i="5"/>
  <c r="EM187" i="5"/>
  <c r="EM186" i="5"/>
  <c r="EN183" i="5"/>
  <c r="EQ183" i="5" s="1"/>
  <c r="ET183" i="5" s="1"/>
  <c r="EW183" i="5" s="1"/>
  <c r="EZ183" i="5" s="1"/>
  <c r="FC183" i="5" s="1"/>
  <c r="FF183" i="5" s="1"/>
  <c r="FI183" i="5" s="1"/>
  <c r="FL183" i="5" s="1"/>
  <c r="FO183" i="5" s="1"/>
  <c r="EN181" i="5"/>
  <c r="EQ181" i="5" s="1"/>
  <c r="EN180" i="5"/>
  <c r="EQ180" i="5" s="1"/>
  <c r="ET180" i="5" s="1"/>
  <c r="EW180" i="5" s="1"/>
  <c r="EZ180" i="5" s="1"/>
  <c r="FC180" i="5" s="1"/>
  <c r="FF180" i="5" s="1"/>
  <c r="FI180" i="5" s="1"/>
  <c r="FL180" i="5" s="1"/>
  <c r="FO180" i="5" s="1"/>
  <c r="EN178" i="5"/>
  <c r="EQ178" i="5" s="1"/>
  <c r="ET178" i="5" s="1"/>
  <c r="EW178" i="5" s="1"/>
  <c r="EZ178" i="5" s="1"/>
  <c r="FC178" i="5" s="1"/>
  <c r="FF178" i="5" s="1"/>
  <c r="FI178" i="5" s="1"/>
  <c r="FL178" i="5" s="1"/>
  <c r="FO178" i="5" s="1"/>
  <c r="EN177" i="5"/>
  <c r="EN187" i="5" s="1"/>
  <c r="EN176" i="5"/>
  <c r="EQ176" i="5" s="1"/>
  <c r="ET176" i="5" s="1"/>
  <c r="EW176" i="5" s="1"/>
  <c r="EZ176" i="5" s="1"/>
  <c r="FC176" i="5" s="1"/>
  <c r="FF176" i="5" s="1"/>
  <c r="FI176" i="5" s="1"/>
  <c r="FL176" i="5" s="1"/>
  <c r="FO176" i="5" s="1"/>
  <c r="EN175" i="5"/>
  <c r="EQ175" i="5" s="1"/>
  <c r="ET175" i="5" s="1"/>
  <c r="EW175" i="5" s="1"/>
  <c r="EZ175" i="5" s="1"/>
  <c r="FC175" i="5" s="1"/>
  <c r="FF175" i="5" s="1"/>
  <c r="FI175" i="5" s="1"/>
  <c r="FL175" i="5" s="1"/>
  <c r="FO175" i="5" s="1"/>
  <c r="EN174" i="5"/>
  <c r="EQ174" i="5" s="1"/>
  <c r="ET174" i="5" s="1"/>
  <c r="EW174" i="5" s="1"/>
  <c r="EZ174" i="5" s="1"/>
  <c r="FC174" i="5" s="1"/>
  <c r="FF174" i="5" s="1"/>
  <c r="FI174" i="5" s="1"/>
  <c r="FL174" i="5" s="1"/>
  <c r="FO174" i="5" s="1"/>
  <c r="EN173" i="5"/>
  <c r="EQ173" i="5" s="1"/>
  <c r="ET173" i="5" s="1"/>
  <c r="EW173" i="5" s="1"/>
  <c r="EZ173" i="5" s="1"/>
  <c r="FC173" i="5" s="1"/>
  <c r="FF173" i="5" s="1"/>
  <c r="FI173" i="5" s="1"/>
  <c r="FL173" i="5" s="1"/>
  <c r="FO173" i="5" s="1"/>
  <c r="EN172" i="5"/>
  <c r="EQ172" i="5" s="1"/>
  <c r="ET172" i="5" s="1"/>
  <c r="EW172" i="5" s="1"/>
  <c r="EZ172" i="5" s="1"/>
  <c r="FC172" i="5" s="1"/>
  <c r="FF172" i="5" s="1"/>
  <c r="FI172" i="5" s="1"/>
  <c r="FL172" i="5" s="1"/>
  <c r="FO172" i="5" s="1"/>
  <c r="EN171" i="5"/>
  <c r="EQ171" i="5" s="1"/>
  <c r="ET171" i="5" s="1"/>
  <c r="EW171" i="5" s="1"/>
  <c r="EZ171" i="5" s="1"/>
  <c r="FC171" i="5" s="1"/>
  <c r="FF171" i="5" s="1"/>
  <c r="FI171" i="5" s="1"/>
  <c r="FL171" i="5" s="1"/>
  <c r="FO171" i="5" s="1"/>
  <c r="EN170" i="5"/>
  <c r="EQ170" i="5" s="1"/>
  <c r="ET170" i="5" s="1"/>
  <c r="EW170" i="5" s="1"/>
  <c r="EZ170" i="5" s="1"/>
  <c r="FC170" i="5" s="1"/>
  <c r="FF170" i="5" s="1"/>
  <c r="FI170" i="5" s="1"/>
  <c r="FL170" i="5" s="1"/>
  <c r="FO170" i="5" s="1"/>
  <c r="EN169" i="5"/>
  <c r="EQ169" i="5" s="1"/>
  <c r="ET169" i="5" s="1"/>
  <c r="EW169" i="5" s="1"/>
  <c r="EZ169" i="5" s="1"/>
  <c r="FC169" i="5" s="1"/>
  <c r="FF169" i="5" s="1"/>
  <c r="FI169" i="5" s="1"/>
  <c r="FL169" i="5" s="1"/>
  <c r="FO169" i="5" s="1"/>
  <c r="EN168" i="5"/>
  <c r="EQ168" i="5" s="1"/>
  <c r="ET168" i="5" s="1"/>
  <c r="EW168" i="5" s="1"/>
  <c r="EZ168" i="5" s="1"/>
  <c r="FC168" i="5" s="1"/>
  <c r="FF168" i="5" s="1"/>
  <c r="FI168" i="5" s="1"/>
  <c r="FL168" i="5" s="1"/>
  <c r="FO168" i="5" s="1"/>
  <c r="EN165" i="5"/>
  <c r="EQ165" i="5" s="1"/>
  <c r="ET165" i="5" s="1"/>
  <c r="EW165" i="5" s="1"/>
  <c r="EZ165" i="5" s="1"/>
  <c r="FC165" i="5" s="1"/>
  <c r="FF165" i="5" s="1"/>
  <c r="FI165" i="5" s="1"/>
  <c r="FL165" i="5" s="1"/>
  <c r="FO165" i="5" s="1"/>
  <c r="EM163" i="5"/>
  <c r="EM162" i="5"/>
  <c r="EN159" i="5"/>
  <c r="EQ159" i="5" s="1"/>
  <c r="ET159" i="5" s="1"/>
  <c r="EN158" i="5"/>
  <c r="EQ158" i="5" s="1"/>
  <c r="ET158" i="5" s="1"/>
  <c r="EW158" i="5" s="1"/>
  <c r="EZ158" i="5" s="1"/>
  <c r="FC158" i="5" s="1"/>
  <c r="FF158" i="5" s="1"/>
  <c r="FI158" i="5" s="1"/>
  <c r="FL158" i="5" s="1"/>
  <c r="FO158" i="5" s="1"/>
  <c r="EN156" i="5"/>
  <c r="EQ156" i="5" s="1"/>
  <c r="ET156" i="5" s="1"/>
  <c r="EW156" i="5" s="1"/>
  <c r="EZ156" i="5" s="1"/>
  <c r="FC156" i="5" s="1"/>
  <c r="FF156" i="5" s="1"/>
  <c r="FI156" i="5" s="1"/>
  <c r="FL156" i="5" s="1"/>
  <c r="FO156" i="5" s="1"/>
  <c r="EN152" i="5"/>
  <c r="EQ152" i="5" s="1"/>
  <c r="ET152" i="5" s="1"/>
  <c r="EM151" i="5"/>
  <c r="EM150" i="5"/>
  <c r="EN147" i="5"/>
  <c r="EQ147" i="5" s="1"/>
  <c r="ET147" i="5" s="1"/>
  <c r="EW147" i="5" s="1"/>
  <c r="EZ147" i="5" s="1"/>
  <c r="FC147" i="5" s="1"/>
  <c r="FF147" i="5" s="1"/>
  <c r="FI147" i="5" s="1"/>
  <c r="FL147" i="5" s="1"/>
  <c r="FO147" i="5" s="1"/>
  <c r="EN146" i="5"/>
  <c r="EQ146" i="5" s="1"/>
  <c r="ET146" i="5" s="1"/>
  <c r="EW146" i="5" s="1"/>
  <c r="EZ146" i="5" s="1"/>
  <c r="FC146" i="5" s="1"/>
  <c r="FF146" i="5" s="1"/>
  <c r="FI146" i="5" s="1"/>
  <c r="FL146" i="5" s="1"/>
  <c r="FO146" i="5" s="1"/>
  <c r="EN145" i="5"/>
  <c r="EQ145" i="5" s="1"/>
  <c r="ET145" i="5" s="1"/>
  <c r="EN144" i="5"/>
  <c r="EN150" i="5" s="1"/>
  <c r="EM143" i="5"/>
  <c r="EM142" i="5"/>
  <c r="EN141" i="5"/>
  <c r="EN142" i="5" s="1"/>
  <c r="EN140" i="5"/>
  <c r="EN143" i="5" s="1"/>
  <c r="EM139" i="5"/>
  <c r="EM138" i="5"/>
  <c r="EN136" i="5"/>
  <c r="EN139" i="5" s="1"/>
  <c r="EN135" i="5"/>
  <c r="EQ135" i="5" s="1"/>
  <c r="ET135" i="5" s="1"/>
  <c r="EW135" i="5" s="1"/>
  <c r="EZ135" i="5" s="1"/>
  <c r="FC135" i="5" s="1"/>
  <c r="FF135" i="5" s="1"/>
  <c r="FI135" i="5" s="1"/>
  <c r="FL135" i="5" s="1"/>
  <c r="FO135" i="5" s="1"/>
  <c r="EN134" i="5"/>
  <c r="EQ134" i="5" s="1"/>
  <c r="ET134" i="5" s="1"/>
  <c r="EW134" i="5" s="1"/>
  <c r="EZ134" i="5" s="1"/>
  <c r="FC134" i="5" s="1"/>
  <c r="FF134" i="5" s="1"/>
  <c r="FI134" i="5" s="1"/>
  <c r="FL134" i="5" s="1"/>
  <c r="FO134" i="5" s="1"/>
  <c r="EN132" i="5"/>
  <c r="EQ132" i="5" s="1"/>
  <c r="ET132" i="5" s="1"/>
  <c r="EN131" i="5"/>
  <c r="EM131" i="5"/>
  <c r="EM130" i="5"/>
  <c r="EM129" i="5"/>
  <c r="EN126" i="5"/>
  <c r="EN130" i="5" s="1"/>
  <c r="EN125" i="5"/>
  <c r="EQ125" i="5" s="1"/>
  <c r="ET125" i="5" s="1"/>
  <c r="EW125" i="5" s="1"/>
  <c r="EZ125" i="5" s="1"/>
  <c r="FC125" i="5" s="1"/>
  <c r="FF125" i="5" s="1"/>
  <c r="FI125" i="5" s="1"/>
  <c r="FL125" i="5" s="1"/>
  <c r="FO125" i="5" s="1"/>
  <c r="EN123" i="5"/>
  <c r="EQ123" i="5" s="1"/>
  <c r="ET123" i="5" s="1"/>
  <c r="EW123" i="5" s="1"/>
  <c r="EZ123" i="5" s="1"/>
  <c r="FC123" i="5" s="1"/>
  <c r="FF123" i="5" s="1"/>
  <c r="FI123" i="5" s="1"/>
  <c r="FL123" i="5" s="1"/>
  <c r="FO123" i="5" s="1"/>
  <c r="EN122" i="5"/>
  <c r="EQ122" i="5" s="1"/>
  <c r="ET122" i="5" s="1"/>
  <c r="EN121" i="5"/>
  <c r="EM121" i="5"/>
  <c r="EN120" i="5"/>
  <c r="EM120" i="5"/>
  <c r="EM116" i="5"/>
  <c r="EM115" i="5"/>
  <c r="EN112" i="5"/>
  <c r="EQ112" i="5" s="1"/>
  <c r="ET112" i="5" s="1"/>
  <c r="EW112" i="5" s="1"/>
  <c r="EZ112" i="5" s="1"/>
  <c r="FC112" i="5" s="1"/>
  <c r="FF112" i="5" s="1"/>
  <c r="FI112" i="5" s="1"/>
  <c r="FL112" i="5" s="1"/>
  <c r="FO112" i="5" s="1"/>
  <c r="EN111" i="5"/>
  <c r="EQ111" i="5" s="1"/>
  <c r="ET111" i="5" s="1"/>
  <c r="EW111" i="5" s="1"/>
  <c r="EZ111" i="5" s="1"/>
  <c r="FC111" i="5" s="1"/>
  <c r="FF111" i="5" s="1"/>
  <c r="FI111" i="5" s="1"/>
  <c r="FL111" i="5" s="1"/>
  <c r="FO111" i="5" s="1"/>
  <c r="EN110" i="5"/>
  <c r="EQ110" i="5" s="1"/>
  <c r="ET110" i="5" s="1"/>
  <c r="EW110" i="5" s="1"/>
  <c r="EZ110" i="5" s="1"/>
  <c r="FC110" i="5" s="1"/>
  <c r="FF110" i="5" s="1"/>
  <c r="FI110" i="5" s="1"/>
  <c r="FL110" i="5" s="1"/>
  <c r="FO110" i="5" s="1"/>
  <c r="EN109" i="5"/>
  <c r="EN116" i="5" s="1"/>
  <c r="EN108" i="5"/>
  <c r="EQ108" i="5" s="1"/>
  <c r="ET108" i="5" s="1"/>
  <c r="EW108" i="5" s="1"/>
  <c r="EZ108" i="5" s="1"/>
  <c r="FC108" i="5" s="1"/>
  <c r="FF108" i="5" s="1"/>
  <c r="FI108" i="5" s="1"/>
  <c r="FL108" i="5" s="1"/>
  <c r="FO108" i="5" s="1"/>
  <c r="EN107" i="5"/>
  <c r="EQ107" i="5" s="1"/>
  <c r="ET107" i="5" s="1"/>
  <c r="EW107" i="5" s="1"/>
  <c r="EZ107" i="5" s="1"/>
  <c r="FC107" i="5" s="1"/>
  <c r="FF107" i="5" s="1"/>
  <c r="FI107" i="5" s="1"/>
  <c r="FL107" i="5" s="1"/>
  <c r="FO107" i="5" s="1"/>
  <c r="EN106" i="5"/>
  <c r="EQ106" i="5" s="1"/>
  <c r="ET106" i="5" s="1"/>
  <c r="EW106" i="5" s="1"/>
  <c r="EZ106" i="5" s="1"/>
  <c r="FC106" i="5" s="1"/>
  <c r="FF106" i="5" s="1"/>
  <c r="FI106" i="5" s="1"/>
  <c r="FL106" i="5" s="1"/>
  <c r="FO106" i="5" s="1"/>
  <c r="EN105" i="5"/>
  <c r="EQ105" i="5" s="1"/>
  <c r="ET105" i="5" s="1"/>
  <c r="EW105" i="5" s="1"/>
  <c r="EZ105" i="5" s="1"/>
  <c r="FC105" i="5" s="1"/>
  <c r="FF105" i="5" s="1"/>
  <c r="FI105" i="5" s="1"/>
  <c r="FL105" i="5" s="1"/>
  <c r="FO105" i="5" s="1"/>
  <c r="EN104" i="5"/>
  <c r="EQ104" i="5" s="1"/>
  <c r="ET104" i="5" s="1"/>
  <c r="EM103" i="5"/>
  <c r="EM102" i="5"/>
  <c r="EM101" i="5"/>
  <c r="EN99" i="5"/>
  <c r="EQ99" i="5" s="1"/>
  <c r="ET99" i="5" s="1"/>
  <c r="EN97" i="5"/>
  <c r="EN102" i="5" s="1"/>
  <c r="EN96" i="5"/>
  <c r="EQ96" i="5" s="1"/>
  <c r="ET96" i="5" s="1"/>
  <c r="EW96" i="5" s="1"/>
  <c r="EZ96" i="5" s="1"/>
  <c r="FC96" i="5" s="1"/>
  <c r="FF96" i="5" s="1"/>
  <c r="FI96" i="5" s="1"/>
  <c r="FL96" i="5" s="1"/>
  <c r="FO96" i="5" s="1"/>
  <c r="EN95" i="5"/>
  <c r="EQ95" i="5" s="1"/>
  <c r="ET95" i="5" s="1"/>
  <c r="EW95" i="5" s="1"/>
  <c r="EZ95" i="5" s="1"/>
  <c r="FC95" i="5" s="1"/>
  <c r="FF95" i="5" s="1"/>
  <c r="FI95" i="5" s="1"/>
  <c r="FL95" i="5" s="1"/>
  <c r="FO95" i="5" s="1"/>
  <c r="EN94" i="5"/>
  <c r="EQ94" i="5" s="1"/>
  <c r="ET94" i="5" s="1"/>
  <c r="EW94" i="5" s="1"/>
  <c r="EZ94" i="5" s="1"/>
  <c r="FC94" i="5" s="1"/>
  <c r="FF94" i="5" s="1"/>
  <c r="FI94" i="5" s="1"/>
  <c r="FL94" i="5" s="1"/>
  <c r="FO94" i="5" s="1"/>
  <c r="EN93" i="5"/>
  <c r="EQ93" i="5" s="1"/>
  <c r="ET93" i="5" s="1"/>
  <c r="EW93" i="5" s="1"/>
  <c r="EZ93" i="5" s="1"/>
  <c r="FC93" i="5" s="1"/>
  <c r="FF93" i="5" s="1"/>
  <c r="FI93" i="5" s="1"/>
  <c r="FL93" i="5" s="1"/>
  <c r="FO93" i="5" s="1"/>
  <c r="EN92" i="5"/>
  <c r="EQ92" i="5" s="1"/>
  <c r="ET92" i="5" s="1"/>
  <c r="EW92" i="5" s="1"/>
  <c r="EZ92" i="5" s="1"/>
  <c r="FC92" i="5" s="1"/>
  <c r="FF92" i="5" s="1"/>
  <c r="FI92" i="5" s="1"/>
  <c r="FL92" i="5" s="1"/>
  <c r="FO92" i="5" s="1"/>
  <c r="EM87" i="5"/>
  <c r="EN86" i="5"/>
  <c r="EN87" i="5" s="1"/>
  <c r="EM84" i="5"/>
  <c r="EN83" i="5"/>
  <c r="EN84" i="5" s="1"/>
  <c r="EM81" i="5"/>
  <c r="EM80" i="5"/>
  <c r="EN78" i="5"/>
  <c r="EN81" i="5" s="1"/>
  <c r="EN77" i="5"/>
  <c r="EQ77" i="5" s="1"/>
  <c r="ET77" i="5" s="1"/>
  <c r="EW77" i="5" s="1"/>
  <c r="EZ77" i="5" s="1"/>
  <c r="FC77" i="5" s="1"/>
  <c r="FF77" i="5" s="1"/>
  <c r="FI77" i="5" s="1"/>
  <c r="FL77" i="5" s="1"/>
  <c r="FO77" i="5" s="1"/>
  <c r="EN76" i="5"/>
  <c r="EQ76" i="5" s="1"/>
  <c r="ET76" i="5" s="1"/>
  <c r="EW76" i="5" s="1"/>
  <c r="EZ76" i="5" s="1"/>
  <c r="FC76" i="5" s="1"/>
  <c r="FF76" i="5" s="1"/>
  <c r="FI76" i="5" s="1"/>
  <c r="FL76" i="5" s="1"/>
  <c r="FO76" i="5" s="1"/>
  <c r="EN75" i="5"/>
  <c r="EQ75" i="5" s="1"/>
  <c r="ET75" i="5" s="1"/>
  <c r="EW75" i="5" s="1"/>
  <c r="EZ75" i="5" s="1"/>
  <c r="FC75" i="5" s="1"/>
  <c r="FF75" i="5" s="1"/>
  <c r="FI75" i="5" s="1"/>
  <c r="FL75" i="5" s="1"/>
  <c r="FO75" i="5" s="1"/>
  <c r="EN74" i="5"/>
  <c r="EQ74" i="5" s="1"/>
  <c r="ET74" i="5" s="1"/>
  <c r="EW74" i="5" s="1"/>
  <c r="EZ74" i="5" s="1"/>
  <c r="FC74" i="5" s="1"/>
  <c r="FF74" i="5" s="1"/>
  <c r="FI74" i="5" s="1"/>
  <c r="FL74" i="5" s="1"/>
  <c r="FO74" i="5" s="1"/>
  <c r="EN73" i="5"/>
  <c r="EQ73" i="5" s="1"/>
  <c r="ET73" i="5" s="1"/>
  <c r="EW73" i="5" s="1"/>
  <c r="EZ73" i="5" s="1"/>
  <c r="FC73" i="5" s="1"/>
  <c r="FF73" i="5" s="1"/>
  <c r="FI73" i="5" s="1"/>
  <c r="FL73" i="5" s="1"/>
  <c r="FO73" i="5" s="1"/>
  <c r="EN72" i="5"/>
  <c r="EQ72" i="5" s="1"/>
  <c r="ET72" i="5" s="1"/>
  <c r="EW72" i="5" s="1"/>
  <c r="EZ72" i="5" s="1"/>
  <c r="FC72" i="5" s="1"/>
  <c r="FF72" i="5" s="1"/>
  <c r="FI72" i="5" s="1"/>
  <c r="FL72" i="5" s="1"/>
  <c r="FO72" i="5" s="1"/>
  <c r="EN71" i="5"/>
  <c r="EQ71" i="5" s="1"/>
  <c r="ET71" i="5" s="1"/>
  <c r="EN69" i="5"/>
  <c r="EM69" i="5"/>
  <c r="EM68" i="5"/>
  <c r="EN64" i="5"/>
  <c r="EQ64" i="5" s="1"/>
  <c r="ET64" i="5" s="1"/>
  <c r="EW64" i="5" s="1"/>
  <c r="EZ64" i="5" s="1"/>
  <c r="FC64" i="5" s="1"/>
  <c r="FF64" i="5" s="1"/>
  <c r="FI64" i="5" s="1"/>
  <c r="FL64" i="5" s="1"/>
  <c r="FO64" i="5" s="1"/>
  <c r="EN63" i="5"/>
  <c r="EQ63" i="5" s="1"/>
  <c r="ET63" i="5" s="1"/>
  <c r="EW63" i="5" s="1"/>
  <c r="EZ63" i="5" s="1"/>
  <c r="FC63" i="5" s="1"/>
  <c r="FF63" i="5" s="1"/>
  <c r="FI63" i="5" s="1"/>
  <c r="FL63" i="5" s="1"/>
  <c r="FO63" i="5" s="1"/>
  <c r="EN62" i="5"/>
  <c r="EQ62" i="5" s="1"/>
  <c r="ET62" i="5" s="1"/>
  <c r="EW62" i="5" s="1"/>
  <c r="EZ62" i="5" s="1"/>
  <c r="FC62" i="5" s="1"/>
  <c r="FF62" i="5" s="1"/>
  <c r="FI62" i="5" s="1"/>
  <c r="FL62" i="5" s="1"/>
  <c r="FO62" i="5" s="1"/>
  <c r="EN61" i="5"/>
  <c r="EQ61" i="5" s="1"/>
  <c r="ET61" i="5" s="1"/>
  <c r="EW61" i="5" s="1"/>
  <c r="EZ61" i="5" s="1"/>
  <c r="FC61" i="5" s="1"/>
  <c r="FF61" i="5" s="1"/>
  <c r="FI61" i="5" s="1"/>
  <c r="FL61" i="5" s="1"/>
  <c r="FO61" i="5" s="1"/>
  <c r="EN60" i="5"/>
  <c r="EQ60" i="5" s="1"/>
  <c r="ET60" i="5" s="1"/>
  <c r="EW60" i="5" s="1"/>
  <c r="EZ60" i="5" s="1"/>
  <c r="FC60" i="5" s="1"/>
  <c r="FF60" i="5" s="1"/>
  <c r="FI60" i="5" s="1"/>
  <c r="FL60" i="5" s="1"/>
  <c r="FO60" i="5" s="1"/>
  <c r="EN59" i="5"/>
  <c r="EQ59" i="5" s="1"/>
  <c r="ET59" i="5" s="1"/>
  <c r="EW59" i="5" s="1"/>
  <c r="EZ59" i="5" s="1"/>
  <c r="FC59" i="5" s="1"/>
  <c r="FF59" i="5" s="1"/>
  <c r="FI59" i="5" s="1"/>
  <c r="FL59" i="5" s="1"/>
  <c r="FO59" i="5" s="1"/>
  <c r="EN56" i="5"/>
  <c r="EQ56" i="5" s="1"/>
  <c r="ET56" i="5" s="1"/>
  <c r="EN51" i="5"/>
  <c r="EQ51" i="5" s="1"/>
  <c r="ET51" i="5" s="1"/>
  <c r="EW51" i="5" s="1"/>
  <c r="EZ51" i="5" s="1"/>
  <c r="FC51" i="5" s="1"/>
  <c r="FF51" i="5" s="1"/>
  <c r="FI51" i="5" s="1"/>
  <c r="FL51" i="5" s="1"/>
  <c r="FO51" i="5" s="1"/>
  <c r="EN45" i="5"/>
  <c r="EQ45" i="5" s="1"/>
  <c r="ET45" i="5" s="1"/>
  <c r="EM43" i="5"/>
  <c r="EN40" i="5"/>
  <c r="EN43" i="5" s="1"/>
  <c r="EM37" i="5"/>
  <c r="EN34" i="5"/>
  <c r="EQ34" i="5" s="1"/>
  <c r="ET34" i="5" s="1"/>
  <c r="EW34" i="5" s="1"/>
  <c r="EZ34" i="5" s="1"/>
  <c r="FC34" i="5" s="1"/>
  <c r="FF34" i="5" s="1"/>
  <c r="FI34" i="5" s="1"/>
  <c r="FL34" i="5" s="1"/>
  <c r="FO34" i="5" s="1"/>
  <c r="EN33" i="5"/>
  <c r="EQ33" i="5" s="1"/>
  <c r="ET33" i="5" s="1"/>
  <c r="EW33" i="5" s="1"/>
  <c r="EZ33" i="5" s="1"/>
  <c r="FC33" i="5" s="1"/>
  <c r="FF33" i="5" s="1"/>
  <c r="FI33" i="5" s="1"/>
  <c r="FL33" i="5" s="1"/>
  <c r="FO33" i="5" s="1"/>
  <c r="EN32" i="5"/>
  <c r="EQ32" i="5" s="1"/>
  <c r="ET32" i="5" s="1"/>
  <c r="EM31" i="5"/>
  <c r="EN26" i="5"/>
  <c r="EN31" i="5" s="1"/>
  <c r="EM25" i="5"/>
  <c r="EM24" i="5"/>
  <c r="EM23" i="5"/>
  <c r="EN20" i="5"/>
  <c r="EQ20" i="5" s="1"/>
  <c r="ET20" i="5" s="1"/>
  <c r="EW20" i="5" s="1"/>
  <c r="EZ20" i="5" s="1"/>
  <c r="FC20" i="5" s="1"/>
  <c r="FF20" i="5" s="1"/>
  <c r="FI20" i="5" s="1"/>
  <c r="FL20" i="5" s="1"/>
  <c r="FO20" i="5" s="1"/>
  <c r="EN18" i="5"/>
  <c r="EQ18" i="5" s="1"/>
  <c r="ET18" i="5" s="1"/>
  <c r="EW18" i="5" s="1"/>
  <c r="EZ18" i="5" s="1"/>
  <c r="FC18" i="5" s="1"/>
  <c r="FF18" i="5" s="1"/>
  <c r="FI18" i="5" s="1"/>
  <c r="FL18" i="5" s="1"/>
  <c r="FO18" i="5" s="1"/>
  <c r="EN14" i="5"/>
  <c r="EQ14" i="5" s="1"/>
  <c r="ET14" i="5" s="1"/>
  <c r="EN13" i="5"/>
  <c r="EN24" i="5" s="1"/>
  <c r="EN12" i="5"/>
  <c r="EQ12" i="5" s="1"/>
  <c r="ET12" i="5" s="1"/>
  <c r="EW12" i="5" s="1"/>
  <c r="EZ12" i="5" s="1"/>
  <c r="FC12" i="5" s="1"/>
  <c r="EN11" i="5"/>
  <c r="EQ11" i="5" s="1"/>
  <c r="ET11" i="5" s="1"/>
  <c r="EW11" i="5" s="1"/>
  <c r="EZ11" i="5" s="1"/>
  <c r="FC11" i="5" s="1"/>
  <c r="FF11" i="5" s="1"/>
  <c r="FI11" i="5" s="1"/>
  <c r="FL11" i="5" s="1"/>
  <c r="FO11" i="5" s="1"/>
  <c r="EM8" i="5"/>
  <c r="EN5" i="5"/>
  <c r="EN8" i="5" s="1"/>
  <c r="F16" i="57"/>
  <c r="E16" i="57"/>
  <c r="D15" i="57"/>
  <c r="D16" i="57" s="1"/>
  <c r="C15" i="57"/>
  <c r="C16" i="57" s="1"/>
  <c r="D14" i="57"/>
  <c r="F13" i="57"/>
  <c r="E13" i="57"/>
  <c r="F10" i="57"/>
  <c r="E10" i="57"/>
  <c r="F25" i="56"/>
  <c r="E25" i="56"/>
  <c r="D25" i="56"/>
  <c r="C25" i="56"/>
  <c r="D14" i="56"/>
  <c r="EK47" i="5"/>
  <c r="EN47" i="5" s="1"/>
  <c r="EN55" i="5" s="1"/>
  <c r="EQ276" i="5" l="1"/>
  <c r="F7" i="56"/>
  <c r="F6" i="56"/>
  <c r="EF27" i="4"/>
  <c r="EF33" i="4" s="1"/>
  <c r="E17" i="57"/>
  <c r="F17" i="57"/>
  <c r="FF12" i="5"/>
  <c r="FI12" i="5" s="1"/>
  <c r="FL12" i="5" s="1"/>
  <c r="FO12" i="5" s="1"/>
  <c r="FI240" i="5"/>
  <c r="FL240" i="5" s="1"/>
  <c r="FO240" i="5" s="1"/>
  <c r="FF260" i="5"/>
  <c r="FF261" i="5"/>
  <c r="FI261" i="5" s="1"/>
  <c r="FL261" i="5" s="1"/>
  <c r="FO261" i="5" s="1"/>
  <c r="N14" i="61"/>
  <c r="N27" i="61" s="1"/>
  <c r="N14" i="60"/>
  <c r="N16" i="60" s="1"/>
  <c r="H5" i="60"/>
  <c r="H5" i="61"/>
  <c r="EG24" i="4"/>
  <c r="ED33" i="4"/>
  <c r="K5" i="60"/>
  <c r="K5" i="61"/>
  <c r="EA105" i="4"/>
  <c r="DX111" i="4"/>
  <c r="F7" i="59"/>
  <c r="F7" i="61"/>
  <c r="F7" i="60"/>
  <c r="H6" i="59"/>
  <c r="H6" i="60"/>
  <c r="H6" i="61"/>
  <c r="F6" i="59"/>
  <c r="F6" i="60"/>
  <c r="F6" i="61"/>
  <c r="K7" i="59"/>
  <c r="K7" i="60"/>
  <c r="K7" i="61"/>
  <c r="H7" i="58"/>
  <c r="H7" i="60"/>
  <c r="H7" i="61"/>
  <c r="ED89" i="4"/>
  <c r="EG68" i="4"/>
  <c r="EG89" i="4" s="1"/>
  <c r="H8" i="59"/>
  <c r="H8" i="61"/>
  <c r="H8" i="60"/>
  <c r="FF10" i="5"/>
  <c r="FI9" i="5"/>
  <c r="ET163" i="5"/>
  <c r="EW159" i="5"/>
  <c r="EW189" i="5"/>
  <c r="ET195" i="5"/>
  <c r="ET225" i="5"/>
  <c r="EW220" i="5"/>
  <c r="EW99" i="5"/>
  <c r="ET25" i="5"/>
  <c r="EW14" i="5"/>
  <c r="ET54" i="5"/>
  <c r="EW45" i="5"/>
  <c r="EW145" i="5"/>
  <c r="ET151" i="5"/>
  <c r="EW314" i="5"/>
  <c r="ET318" i="5"/>
  <c r="EW262" i="5"/>
  <c r="EZ262" i="5" s="1"/>
  <c r="FC262" i="5" s="1"/>
  <c r="FF262" i="5" s="1"/>
  <c r="FI262" i="5" s="1"/>
  <c r="FL262" i="5" s="1"/>
  <c r="FO262" i="5" s="1"/>
  <c r="ET329" i="5"/>
  <c r="EW319" i="5"/>
  <c r="EW71" i="5"/>
  <c r="EZ71" i="5" s="1"/>
  <c r="FC71" i="5" s="1"/>
  <c r="FF71" i="5" s="1"/>
  <c r="FI71" i="5" s="1"/>
  <c r="FL71" i="5" s="1"/>
  <c r="FO71" i="5" s="1"/>
  <c r="EW132" i="5"/>
  <c r="EZ132" i="5" s="1"/>
  <c r="FC132" i="5" s="1"/>
  <c r="FF132" i="5" s="1"/>
  <c r="FI132" i="5" s="1"/>
  <c r="FL132" i="5" s="1"/>
  <c r="FO132" i="5" s="1"/>
  <c r="ET230" i="5"/>
  <c r="EW226" i="5"/>
  <c r="EW56" i="5"/>
  <c r="ET68" i="5"/>
  <c r="EW104" i="5"/>
  <c r="EZ104" i="5" s="1"/>
  <c r="FC104" i="5" s="1"/>
  <c r="EW88" i="5"/>
  <c r="EZ88" i="5" s="1"/>
  <c r="FC88" i="5" s="1"/>
  <c r="EQ188" i="5"/>
  <c r="ET181" i="5"/>
  <c r="EW200" i="5"/>
  <c r="EZ200" i="5" s="1"/>
  <c r="FC200" i="5" s="1"/>
  <c r="EW122" i="5"/>
  <c r="EZ122" i="5" s="1"/>
  <c r="FC122" i="5" s="1"/>
  <c r="ET162" i="5"/>
  <c r="EW152" i="5"/>
  <c r="ET260" i="5"/>
  <c r="EW231" i="5"/>
  <c r="ET37" i="5"/>
  <c r="EW32" i="5"/>
  <c r="F6" i="58"/>
  <c r="F7" i="58"/>
  <c r="EA89" i="4"/>
  <c r="EQ54" i="5"/>
  <c r="H7" i="59"/>
  <c r="DX115" i="4"/>
  <c r="DW113" i="4"/>
  <c r="DW1" i="4" s="1"/>
  <c r="H6" i="58"/>
  <c r="H5" i="59"/>
  <c r="EA33" i="4"/>
  <c r="EA5" i="4"/>
  <c r="H8" i="58"/>
  <c r="DX89" i="4"/>
  <c r="H5" i="58"/>
  <c r="DZ113" i="4"/>
  <c r="DZ1" i="4" s="1"/>
  <c r="K5" i="59"/>
  <c r="EQ162" i="5"/>
  <c r="EQ260" i="5"/>
  <c r="EQ37" i="5"/>
  <c r="EQ97" i="5"/>
  <c r="EQ151" i="5"/>
  <c r="EQ68" i="5"/>
  <c r="EQ163" i="5"/>
  <c r="EQ195" i="5"/>
  <c r="EQ225" i="5"/>
  <c r="EQ25" i="5"/>
  <c r="EQ329" i="5"/>
  <c r="EQ230" i="5"/>
  <c r="EQ136" i="5"/>
  <c r="EQ177" i="5"/>
  <c r="EQ196" i="5"/>
  <c r="EQ282" i="5"/>
  <c r="EP335" i="5"/>
  <c r="K13" i="61" s="1"/>
  <c r="EQ13" i="5"/>
  <c r="EQ23" i="5" s="1"/>
  <c r="EQ109" i="5"/>
  <c r="EQ198" i="5"/>
  <c r="EQ296" i="5"/>
  <c r="EQ211" i="5"/>
  <c r="EP332" i="5"/>
  <c r="K12" i="61" s="1"/>
  <c r="EQ318" i="5"/>
  <c r="EQ40" i="5"/>
  <c r="EQ126" i="5"/>
  <c r="EQ140" i="5"/>
  <c r="EQ86" i="5"/>
  <c r="EQ141" i="5"/>
  <c r="EQ299" i="5"/>
  <c r="EQ78" i="5"/>
  <c r="EP333" i="5"/>
  <c r="EQ47" i="5"/>
  <c r="EQ303" i="5"/>
  <c r="EQ5" i="5"/>
  <c r="EQ26" i="5"/>
  <c r="EQ144" i="5"/>
  <c r="EN54" i="5"/>
  <c r="EQ83" i="5"/>
  <c r="EQ307" i="5"/>
  <c r="DX33" i="4"/>
  <c r="EN318" i="5"/>
  <c r="EN101" i="5"/>
  <c r="EM332" i="5"/>
  <c r="EN260" i="5"/>
  <c r="EN329" i="5"/>
  <c r="EN151" i="5"/>
  <c r="EN333" i="5"/>
  <c r="EM333" i="5"/>
  <c r="EN188" i="5"/>
  <c r="EM335" i="5"/>
  <c r="EN129" i="5"/>
  <c r="EN25" i="5"/>
  <c r="EN162" i="5"/>
  <c r="EN163" i="5"/>
  <c r="EN195" i="5"/>
  <c r="EN225" i="5"/>
  <c r="EN68" i="5"/>
  <c r="EN138" i="5"/>
  <c r="EN37" i="5"/>
  <c r="EN23" i="5"/>
  <c r="EN230" i="5"/>
  <c r="EN293" i="5"/>
  <c r="EN223" i="5"/>
  <c r="EN115" i="5"/>
  <c r="DA339" i="5"/>
  <c r="DE339" i="5"/>
  <c r="DH339" i="5"/>
  <c r="DK339" i="5"/>
  <c r="DN339" i="5"/>
  <c r="DQ339" i="5"/>
  <c r="DT339" i="5"/>
  <c r="DW339" i="5"/>
  <c r="DZ339" i="5"/>
  <c r="EC339" i="5"/>
  <c r="EI339" i="5"/>
  <c r="D14" i="55"/>
  <c r="ET276" i="5" l="1"/>
  <c r="R7" i="61"/>
  <c r="D7" i="63"/>
  <c r="G7" i="63" s="1"/>
  <c r="Q8" i="61"/>
  <c r="Q9" i="61" s="1"/>
  <c r="EF113" i="4"/>
  <c r="EF1" i="4" s="1"/>
  <c r="EG27" i="4"/>
  <c r="EG33" i="4" s="1"/>
  <c r="FF122" i="5"/>
  <c r="FI122" i="5" s="1"/>
  <c r="FL122" i="5" s="1"/>
  <c r="FO122" i="5" s="1"/>
  <c r="FF200" i="5"/>
  <c r="FI200" i="5" s="1"/>
  <c r="FL200" i="5" s="1"/>
  <c r="FO200" i="5" s="1"/>
  <c r="FF88" i="5"/>
  <c r="FI88" i="5" s="1"/>
  <c r="FL88" i="5" s="1"/>
  <c r="FO88" i="5" s="1"/>
  <c r="FF104" i="5"/>
  <c r="FI104" i="5" s="1"/>
  <c r="FL104" i="5" s="1"/>
  <c r="FO104" i="5" s="1"/>
  <c r="N16" i="61"/>
  <c r="N27" i="60"/>
  <c r="FI10" i="5"/>
  <c r="FL9" i="5"/>
  <c r="K14" i="61"/>
  <c r="I6" i="60"/>
  <c r="I6" i="61"/>
  <c r="ED105" i="4"/>
  <c r="EA111" i="4"/>
  <c r="K9" i="61"/>
  <c r="EA115" i="4"/>
  <c r="ED5" i="4"/>
  <c r="K9" i="60"/>
  <c r="K9" i="59"/>
  <c r="O8" i="60"/>
  <c r="O8" i="61"/>
  <c r="L8" i="59"/>
  <c r="L8" i="60"/>
  <c r="L8" i="61"/>
  <c r="I8" i="61"/>
  <c r="I8" i="60"/>
  <c r="L7" i="59"/>
  <c r="L7" i="60"/>
  <c r="L7" i="61"/>
  <c r="H9" i="61"/>
  <c r="I7" i="60"/>
  <c r="I7" i="61"/>
  <c r="O7" i="61"/>
  <c r="O7" i="60"/>
  <c r="H9" i="60"/>
  <c r="H12" i="60"/>
  <c r="H12" i="61"/>
  <c r="H13" i="60"/>
  <c r="H13" i="61"/>
  <c r="K13" i="59"/>
  <c r="K13" i="60"/>
  <c r="K12" i="59"/>
  <c r="K12" i="60"/>
  <c r="EW225" i="5"/>
  <c r="EZ220" i="5"/>
  <c r="EW318" i="5"/>
  <c r="EZ314" i="5"/>
  <c r="EW37" i="5"/>
  <c r="EZ32" i="5"/>
  <c r="EW151" i="5"/>
  <c r="EZ145" i="5"/>
  <c r="EW195" i="5"/>
  <c r="EZ189" i="5"/>
  <c r="EW68" i="5"/>
  <c r="EZ56" i="5"/>
  <c r="EW54" i="5"/>
  <c r="EZ45" i="5"/>
  <c r="EW163" i="5"/>
  <c r="EZ159" i="5"/>
  <c r="EW260" i="5"/>
  <c r="EZ231" i="5"/>
  <c r="EW230" i="5"/>
  <c r="EZ226" i="5"/>
  <c r="EZ99" i="5"/>
  <c r="FC99" i="5" s="1"/>
  <c r="FF99" i="5" s="1"/>
  <c r="FI99" i="5" s="1"/>
  <c r="EW25" i="5"/>
  <c r="EZ14" i="5"/>
  <c r="EW329" i="5"/>
  <c r="EZ319" i="5"/>
  <c r="EW162" i="5"/>
  <c r="EZ152" i="5"/>
  <c r="EQ8" i="5"/>
  <c r="ET5" i="5"/>
  <c r="EQ31" i="5"/>
  <c r="ET26" i="5"/>
  <c r="EQ187" i="5"/>
  <c r="ET177" i="5"/>
  <c r="EQ306" i="5"/>
  <c r="ET303" i="5"/>
  <c r="EQ55" i="5"/>
  <c r="ET47" i="5"/>
  <c r="EQ224" i="5"/>
  <c r="ET211" i="5"/>
  <c r="EQ130" i="5"/>
  <c r="ET126" i="5"/>
  <c r="EQ43" i="5"/>
  <c r="ET40" i="5"/>
  <c r="EQ298" i="5"/>
  <c r="ET296" i="5"/>
  <c r="EQ81" i="5"/>
  <c r="ET78" i="5"/>
  <c r="EQ199" i="5"/>
  <c r="ET198" i="5"/>
  <c r="ET188" i="5"/>
  <c r="EW181" i="5"/>
  <c r="EQ139" i="5"/>
  <c r="ET136" i="5"/>
  <c r="EQ116" i="5"/>
  <c r="ET109" i="5"/>
  <c r="EQ150" i="5"/>
  <c r="ET144" i="5"/>
  <c r="EQ302" i="5"/>
  <c r="ET299" i="5"/>
  <c r="EQ24" i="5"/>
  <c r="ET13" i="5"/>
  <c r="EQ313" i="5"/>
  <c r="ET307" i="5"/>
  <c r="EQ84" i="5"/>
  <c r="ET83" i="5"/>
  <c r="EQ87" i="5"/>
  <c r="ET86" i="5"/>
  <c r="EQ294" i="5"/>
  <c r="ET282" i="5"/>
  <c r="EQ142" i="5"/>
  <c r="ET141" i="5"/>
  <c r="EQ143" i="5"/>
  <c r="ET140" i="5"/>
  <c r="EQ197" i="5"/>
  <c r="ET196" i="5"/>
  <c r="EQ102" i="5"/>
  <c r="ET97" i="5"/>
  <c r="EQ101" i="5"/>
  <c r="H9" i="59"/>
  <c r="H13" i="58"/>
  <c r="H13" i="59"/>
  <c r="H12" i="58"/>
  <c r="H12" i="59"/>
  <c r="H9" i="58"/>
  <c r="I6" i="58"/>
  <c r="I6" i="59"/>
  <c r="I7" i="58"/>
  <c r="I7" i="59"/>
  <c r="I8" i="58"/>
  <c r="I8" i="59"/>
  <c r="DY33" i="4"/>
  <c r="EQ129" i="5"/>
  <c r="EQ293" i="5"/>
  <c r="EP337" i="5"/>
  <c r="EP1" i="5" s="1"/>
  <c r="EQ115" i="5"/>
  <c r="EQ223" i="5"/>
  <c r="EQ138" i="5"/>
  <c r="EM337" i="5"/>
  <c r="EM1" i="5" s="1"/>
  <c r="EI224" i="5"/>
  <c r="EI223" i="5"/>
  <c r="EK225" i="5"/>
  <c r="EI225" i="5"/>
  <c r="EK197" i="5"/>
  <c r="EK195" i="5"/>
  <c r="EI195" i="5"/>
  <c r="EF167" i="5"/>
  <c r="EK188" i="5"/>
  <c r="EK187" i="5"/>
  <c r="EI188" i="5"/>
  <c r="EI187" i="5"/>
  <c r="EI186" i="5"/>
  <c r="EF164" i="5"/>
  <c r="EI103" i="5"/>
  <c r="EK102" i="5"/>
  <c r="EK101" i="5"/>
  <c r="EI101" i="5"/>
  <c r="EI68" i="5"/>
  <c r="EI80" i="5"/>
  <c r="EI55" i="5"/>
  <c r="EK55" i="5"/>
  <c r="EK54" i="5"/>
  <c r="EI54" i="5"/>
  <c r="DS111" i="4"/>
  <c r="EK98" i="5"/>
  <c r="EN98" i="5" s="1"/>
  <c r="EW276" i="5" l="1"/>
  <c r="R8" i="61"/>
  <c r="D8" i="63"/>
  <c r="G8" i="63" s="1"/>
  <c r="Q16" i="61"/>
  <c r="Q27" i="61"/>
  <c r="FL10" i="5"/>
  <c r="FO9" i="5"/>
  <c r="FO10" i="5" s="1"/>
  <c r="FL99" i="5"/>
  <c r="FO99" i="5" s="1"/>
  <c r="K27" i="61"/>
  <c r="H14" i="60"/>
  <c r="H27" i="60" s="1"/>
  <c r="H14" i="61"/>
  <c r="H16" i="61" s="1"/>
  <c r="ED115" i="4"/>
  <c r="EG5" i="4"/>
  <c r="L6" i="59"/>
  <c r="L6" i="61"/>
  <c r="L6" i="60"/>
  <c r="K16" i="61"/>
  <c r="EG105" i="4"/>
  <c r="EG111" i="4" s="1"/>
  <c r="ED111" i="4"/>
  <c r="E6" i="60"/>
  <c r="E6" i="61"/>
  <c r="K14" i="59"/>
  <c r="K16" i="59" s="1"/>
  <c r="K14" i="60"/>
  <c r="EZ162" i="5"/>
  <c r="FC152" i="5"/>
  <c r="FC162" i="5" s="1"/>
  <c r="EZ163" i="5"/>
  <c r="FC159" i="5"/>
  <c r="EZ318" i="5"/>
  <c r="FC314" i="5"/>
  <c r="EZ329" i="5"/>
  <c r="FC319" i="5"/>
  <c r="EZ68" i="5"/>
  <c r="FC56" i="5"/>
  <c r="FC68" i="5" s="1"/>
  <c r="EZ225" i="5"/>
  <c r="FC220" i="5"/>
  <c r="EZ25" i="5"/>
  <c r="FC14" i="5"/>
  <c r="EZ54" i="5"/>
  <c r="FC45" i="5"/>
  <c r="FC54" i="5" s="1"/>
  <c r="EZ195" i="5"/>
  <c r="FC189" i="5"/>
  <c r="FC195" i="5" s="1"/>
  <c r="EZ230" i="5"/>
  <c r="FC226" i="5"/>
  <c r="FC230" i="5" s="1"/>
  <c r="EZ151" i="5"/>
  <c r="FC145" i="5"/>
  <c r="EZ260" i="5"/>
  <c r="FC231" i="5"/>
  <c r="FC260" i="5" s="1"/>
  <c r="EZ37" i="5"/>
  <c r="FC32" i="5"/>
  <c r="EW188" i="5"/>
  <c r="EZ181" i="5"/>
  <c r="EQ98" i="5"/>
  <c r="EN103" i="5"/>
  <c r="EN335" i="5" s="1"/>
  <c r="I13" i="58" s="1"/>
  <c r="EK103" i="5"/>
  <c r="H14" i="59"/>
  <c r="H16" i="59" s="1"/>
  <c r="EQ333" i="5"/>
  <c r="EW86" i="5"/>
  <c r="ET87" i="5"/>
  <c r="ET116" i="5"/>
  <c r="EW109" i="5"/>
  <c r="EZ109" i="5" s="1"/>
  <c r="FC109" i="5" s="1"/>
  <c r="ET115" i="5"/>
  <c r="ET298" i="5"/>
  <c r="EW296" i="5"/>
  <c r="ET102" i="5"/>
  <c r="EW97" i="5"/>
  <c r="EZ97" i="5" s="1"/>
  <c r="FC97" i="5" s="1"/>
  <c r="ET101" i="5"/>
  <c r="ET306" i="5"/>
  <c r="EW303" i="5"/>
  <c r="EZ303" i="5" s="1"/>
  <c r="FC303" i="5" s="1"/>
  <c r="FF303" i="5" s="1"/>
  <c r="FI303" i="5" s="1"/>
  <c r="FL303" i="5" s="1"/>
  <c r="FO303" i="5" s="1"/>
  <c r="ET197" i="5"/>
  <c r="EW196" i="5"/>
  <c r="EW83" i="5"/>
  <c r="ET84" i="5"/>
  <c r="EW177" i="5"/>
  <c r="EZ177" i="5" s="1"/>
  <c r="ET187" i="5"/>
  <c r="ET139" i="5"/>
  <c r="EW136" i="5"/>
  <c r="EZ136" i="5" s="1"/>
  <c r="FC136" i="5" s="1"/>
  <c r="FF136" i="5" s="1"/>
  <c r="FI136" i="5" s="1"/>
  <c r="FL136" i="5" s="1"/>
  <c r="FO136" i="5" s="1"/>
  <c r="ET138" i="5"/>
  <c r="EW40" i="5"/>
  <c r="ET43" i="5"/>
  <c r="ET143" i="5"/>
  <c r="EW140" i="5"/>
  <c r="H14" i="58"/>
  <c r="H27" i="58" s="1"/>
  <c r="EW307" i="5"/>
  <c r="ET313" i="5"/>
  <c r="ET130" i="5"/>
  <c r="EW126" i="5"/>
  <c r="EZ126" i="5" s="1"/>
  <c r="FC126" i="5" s="1"/>
  <c r="ET129" i="5"/>
  <c r="ET31" i="5"/>
  <c r="EW26" i="5"/>
  <c r="ET142" i="5"/>
  <c r="EW141" i="5"/>
  <c r="ET23" i="5"/>
  <c r="ET24" i="5"/>
  <c r="EW13" i="5"/>
  <c r="EZ13" i="5" s="1"/>
  <c r="FC13" i="5" s="1"/>
  <c r="ET199" i="5"/>
  <c r="EW198" i="5"/>
  <c r="ET302" i="5"/>
  <c r="EW299" i="5"/>
  <c r="ET81" i="5"/>
  <c r="EW78" i="5"/>
  <c r="EZ78" i="5" s="1"/>
  <c r="ET8" i="5"/>
  <c r="EW5" i="5"/>
  <c r="ET294" i="5"/>
  <c r="EW282" i="5"/>
  <c r="EZ282" i="5" s="1"/>
  <c r="FC282" i="5" s="1"/>
  <c r="ET293" i="5"/>
  <c r="ET55" i="5"/>
  <c r="EW47" i="5"/>
  <c r="ET224" i="5"/>
  <c r="EW211" i="5"/>
  <c r="EZ211" i="5" s="1"/>
  <c r="FC211" i="5" s="1"/>
  <c r="ET223" i="5"/>
  <c r="ET150" i="5"/>
  <c r="EW144" i="5"/>
  <c r="E6" i="59"/>
  <c r="E6" i="58"/>
  <c r="E6" i="56"/>
  <c r="H6" i="56" s="1"/>
  <c r="EZ276" i="5" l="1"/>
  <c r="EZ293" i="5" s="1"/>
  <c r="R6" i="61"/>
  <c r="D6" i="63"/>
  <c r="G6" i="63" s="1"/>
  <c r="K27" i="59"/>
  <c r="FO306" i="5"/>
  <c r="FO139" i="5"/>
  <c r="FO138" i="5"/>
  <c r="FF97" i="5"/>
  <c r="FI97" i="5" s="1"/>
  <c r="FI101" i="5" s="1"/>
  <c r="FC101" i="5"/>
  <c r="FF126" i="5"/>
  <c r="FI126" i="5" s="1"/>
  <c r="FL126" i="5" s="1"/>
  <c r="FC129" i="5"/>
  <c r="FF211" i="5"/>
  <c r="FI211" i="5" s="1"/>
  <c r="FL211" i="5" s="1"/>
  <c r="FO211" i="5" s="1"/>
  <c r="FC224" i="5"/>
  <c r="FC223" i="5"/>
  <c r="FF109" i="5"/>
  <c r="FI109" i="5" s="1"/>
  <c r="FL109" i="5" s="1"/>
  <c r="FC115" i="5"/>
  <c r="FF13" i="5"/>
  <c r="FI13" i="5" s="1"/>
  <c r="FL13" i="5" s="1"/>
  <c r="FC23" i="5"/>
  <c r="FF282" i="5"/>
  <c r="FI282" i="5" s="1"/>
  <c r="FL282" i="5" s="1"/>
  <c r="H16" i="60"/>
  <c r="FL139" i="5"/>
  <c r="FL138" i="5"/>
  <c r="FL306" i="5"/>
  <c r="H27" i="61"/>
  <c r="O6" i="61"/>
  <c r="O6" i="60"/>
  <c r="EG115" i="4"/>
  <c r="I13" i="60"/>
  <c r="I13" i="61"/>
  <c r="FI139" i="5"/>
  <c r="FI138" i="5"/>
  <c r="FI306" i="5"/>
  <c r="I13" i="59"/>
  <c r="FF226" i="5"/>
  <c r="FC329" i="5"/>
  <c r="FF319" i="5"/>
  <c r="FC163" i="5"/>
  <c r="FF159" i="5"/>
  <c r="FF139" i="5"/>
  <c r="FF138" i="5"/>
  <c r="FC318" i="5"/>
  <c r="FF314" i="5"/>
  <c r="FF45" i="5"/>
  <c r="FC37" i="5"/>
  <c r="FF32" i="5"/>
  <c r="FC25" i="5"/>
  <c r="FF14" i="5"/>
  <c r="FF152" i="5"/>
  <c r="FF189" i="5"/>
  <c r="FF231" i="5"/>
  <c r="FC225" i="5"/>
  <c r="FF220" i="5"/>
  <c r="FC151" i="5"/>
  <c r="FF145" i="5"/>
  <c r="FF56" i="5"/>
  <c r="FF306" i="5"/>
  <c r="K27" i="60"/>
  <c r="K16" i="60"/>
  <c r="FC24" i="5"/>
  <c r="FC139" i="5"/>
  <c r="FC138" i="5"/>
  <c r="FC306" i="5"/>
  <c r="EZ188" i="5"/>
  <c r="FC181" i="5"/>
  <c r="FC130" i="5"/>
  <c r="EZ187" i="5"/>
  <c r="FC177" i="5"/>
  <c r="FC294" i="5"/>
  <c r="FC102" i="5"/>
  <c r="FC116" i="5"/>
  <c r="EZ81" i="5"/>
  <c r="FC78" i="5"/>
  <c r="H27" i="59"/>
  <c r="EZ294" i="5"/>
  <c r="EW143" i="5"/>
  <c r="EZ140" i="5"/>
  <c r="EW197" i="5"/>
  <c r="EZ196" i="5"/>
  <c r="EW8" i="5"/>
  <c r="EZ5" i="5"/>
  <c r="EW87" i="5"/>
  <c r="EZ86" i="5"/>
  <c r="EW84" i="5"/>
  <c r="EZ83" i="5"/>
  <c r="EZ306" i="5"/>
  <c r="EZ116" i="5"/>
  <c r="EZ115" i="5"/>
  <c r="EW142" i="5"/>
  <c r="EZ141" i="5"/>
  <c r="EW31" i="5"/>
  <c r="EZ26" i="5"/>
  <c r="EZ139" i="5"/>
  <c r="EZ138" i="5"/>
  <c r="EZ102" i="5"/>
  <c r="EZ101" i="5"/>
  <c r="EZ24" i="5"/>
  <c r="EZ23" i="5"/>
  <c r="EW150" i="5"/>
  <c r="EZ144" i="5"/>
  <c r="EW302" i="5"/>
  <c r="EZ299" i="5"/>
  <c r="EZ130" i="5"/>
  <c r="EZ129" i="5"/>
  <c r="EW43" i="5"/>
  <c r="EZ40" i="5"/>
  <c r="EZ224" i="5"/>
  <c r="EZ223" i="5"/>
  <c r="EW298" i="5"/>
  <c r="EZ296" i="5"/>
  <c r="ET98" i="5"/>
  <c r="EQ103" i="5"/>
  <c r="EQ335" i="5" s="1"/>
  <c r="L13" i="61" s="1"/>
  <c r="EW55" i="5"/>
  <c r="EZ47" i="5"/>
  <c r="EW199" i="5"/>
  <c r="EZ198" i="5"/>
  <c r="EW313" i="5"/>
  <c r="EZ307" i="5"/>
  <c r="H16" i="58"/>
  <c r="EW81" i="5"/>
  <c r="EW139" i="5"/>
  <c r="EW138" i="5"/>
  <c r="EW102" i="5"/>
  <c r="EW101" i="5"/>
  <c r="EW224" i="5"/>
  <c r="EW223" i="5"/>
  <c r="EW130" i="5"/>
  <c r="EW129" i="5"/>
  <c r="EW187" i="5"/>
  <c r="EW24" i="5"/>
  <c r="EW23" i="5"/>
  <c r="EW116" i="5"/>
  <c r="EW115" i="5"/>
  <c r="EW294" i="5"/>
  <c r="EW293" i="5"/>
  <c r="ET333" i="5"/>
  <c r="EW306" i="5"/>
  <c r="EK167" i="5"/>
  <c r="EK166" i="5"/>
  <c r="EN166" i="5" s="1"/>
  <c r="EQ166" i="5" s="1"/>
  <c r="ET166" i="5" s="1"/>
  <c r="EW166" i="5" s="1"/>
  <c r="EZ166" i="5" s="1"/>
  <c r="FC166" i="5" s="1"/>
  <c r="FF166" i="5" s="1"/>
  <c r="FI166" i="5" s="1"/>
  <c r="FL166" i="5" s="1"/>
  <c r="FO166" i="5" s="1"/>
  <c r="EK164" i="5"/>
  <c r="EK70" i="5"/>
  <c r="EK339" i="5" l="1"/>
  <c r="FF116" i="5"/>
  <c r="FC276" i="5"/>
  <c r="FI102" i="5"/>
  <c r="FF115" i="5"/>
  <c r="FL97" i="5"/>
  <c r="FO97" i="5" s="1"/>
  <c r="FO101" i="5" s="1"/>
  <c r="FF102" i="5"/>
  <c r="FI130" i="5"/>
  <c r="FF101" i="5"/>
  <c r="FF129" i="5"/>
  <c r="FF130" i="5"/>
  <c r="FF223" i="5"/>
  <c r="FF294" i="5"/>
  <c r="FL129" i="5"/>
  <c r="FO126" i="5"/>
  <c r="FF224" i="5"/>
  <c r="FO282" i="5"/>
  <c r="FI129" i="5"/>
  <c r="FI294" i="5"/>
  <c r="FO224" i="5"/>
  <c r="FO223" i="5"/>
  <c r="FI223" i="5"/>
  <c r="FI224" i="5"/>
  <c r="FL24" i="5"/>
  <c r="FO13" i="5"/>
  <c r="FL223" i="5"/>
  <c r="FL224" i="5"/>
  <c r="FL115" i="5"/>
  <c r="FO109" i="5"/>
  <c r="FF24" i="5"/>
  <c r="FI23" i="5"/>
  <c r="FI24" i="5"/>
  <c r="FI116" i="5"/>
  <c r="FL294" i="5"/>
  <c r="FL23" i="5"/>
  <c r="FI115" i="5"/>
  <c r="FL130" i="5"/>
  <c r="FF23" i="5"/>
  <c r="FL116" i="5"/>
  <c r="FF230" i="5"/>
  <c r="FI226" i="5"/>
  <c r="FF195" i="5"/>
  <c r="FI189" i="5"/>
  <c r="FF151" i="5"/>
  <c r="FI145" i="5"/>
  <c r="FI151" i="5" s="1"/>
  <c r="FF162" i="5"/>
  <c r="FI152" i="5"/>
  <c r="FI162" i="5" s="1"/>
  <c r="FF54" i="5"/>
  <c r="FI45" i="5"/>
  <c r="FF68" i="5"/>
  <c r="FI56" i="5"/>
  <c r="FI68" i="5" s="1"/>
  <c r="FF225" i="5"/>
  <c r="FI220" i="5"/>
  <c r="FF25" i="5"/>
  <c r="FI14" i="5"/>
  <c r="FI231" i="5"/>
  <c r="FF37" i="5"/>
  <c r="FI32" i="5"/>
  <c r="FF163" i="5"/>
  <c r="FI159" i="5"/>
  <c r="FF318" i="5"/>
  <c r="FI314" i="5"/>
  <c r="FF329" i="5"/>
  <c r="FI319" i="5"/>
  <c r="FC187" i="5"/>
  <c r="FF177" i="5"/>
  <c r="FC81" i="5"/>
  <c r="FF78" i="5"/>
  <c r="FC188" i="5"/>
  <c r="FF181" i="5"/>
  <c r="L13" i="59"/>
  <c r="L13" i="60"/>
  <c r="EZ84" i="5"/>
  <c r="FC83" i="5"/>
  <c r="EZ87" i="5"/>
  <c r="FC86" i="5"/>
  <c r="FC87" i="5" s="1"/>
  <c r="EZ313" i="5"/>
  <c r="FC307" i="5"/>
  <c r="EZ8" i="5"/>
  <c r="FC5" i="5"/>
  <c r="FC8" i="5" s="1"/>
  <c r="EZ199" i="5"/>
  <c r="FC198" i="5"/>
  <c r="EZ31" i="5"/>
  <c r="FC26" i="5"/>
  <c r="FC31" i="5" s="1"/>
  <c r="EZ197" i="5"/>
  <c r="FC196" i="5"/>
  <c r="EZ43" i="5"/>
  <c r="FC40" i="5"/>
  <c r="FC43" i="5" s="1"/>
  <c r="EZ55" i="5"/>
  <c r="FC47" i="5"/>
  <c r="EZ302" i="5"/>
  <c r="FC299" i="5"/>
  <c r="EZ142" i="5"/>
  <c r="FC141" i="5"/>
  <c r="EZ143" i="5"/>
  <c r="FC140" i="5"/>
  <c r="EZ150" i="5"/>
  <c r="FC144" i="5"/>
  <c r="FC150" i="5" s="1"/>
  <c r="EZ298" i="5"/>
  <c r="FC296" i="5"/>
  <c r="FF296" i="5" s="1"/>
  <c r="FI296" i="5" s="1"/>
  <c r="FL296" i="5" s="1"/>
  <c r="FO296" i="5" s="1"/>
  <c r="FO298" i="5" s="1"/>
  <c r="EN70" i="5"/>
  <c r="EK80" i="5"/>
  <c r="EN164" i="5"/>
  <c r="EK186" i="5"/>
  <c r="EN167" i="5"/>
  <c r="EN339" i="5" s="1"/>
  <c r="EW98" i="5"/>
  <c r="ET103" i="5"/>
  <c r="ET335" i="5" s="1"/>
  <c r="EZ333" i="5"/>
  <c r="EW333" i="5"/>
  <c r="DV87" i="4"/>
  <c r="DV86" i="4"/>
  <c r="DV84" i="4"/>
  <c r="DV83" i="4"/>
  <c r="DV82" i="4"/>
  <c r="DV81" i="4"/>
  <c r="DV80" i="4"/>
  <c r="DV79" i="4"/>
  <c r="DV75" i="4"/>
  <c r="DV73" i="4"/>
  <c r="DV68" i="4"/>
  <c r="DV67" i="4"/>
  <c r="DV66" i="4"/>
  <c r="DV61" i="4"/>
  <c r="DV49" i="4"/>
  <c r="DV48" i="4"/>
  <c r="DV35" i="4"/>
  <c r="DV38" i="4"/>
  <c r="DV29" i="4"/>
  <c r="DV28" i="4"/>
  <c r="DV27" i="4"/>
  <c r="DV26" i="4"/>
  <c r="DV25" i="4"/>
  <c r="DV24" i="4"/>
  <c r="DV21" i="4"/>
  <c r="DV16" i="4"/>
  <c r="DV15" i="4"/>
  <c r="DV13" i="4"/>
  <c r="DV12" i="4"/>
  <c r="DV11" i="4"/>
  <c r="DV10" i="4"/>
  <c r="DV8" i="4"/>
  <c r="DV7" i="4"/>
  <c r="DV6" i="4"/>
  <c r="DV5" i="4"/>
  <c r="F25" i="54"/>
  <c r="FF276" i="5" l="1"/>
  <c r="FC293" i="5"/>
  <c r="FO102" i="5"/>
  <c r="FL102" i="5"/>
  <c r="FL101" i="5"/>
  <c r="FO294" i="5"/>
  <c r="FO24" i="5"/>
  <c r="FO23" i="5"/>
  <c r="FO116" i="5"/>
  <c r="FO115" i="5"/>
  <c r="FO130" i="5"/>
  <c r="FO129" i="5"/>
  <c r="FI163" i="5"/>
  <c r="FL159" i="5"/>
  <c r="FI54" i="5"/>
  <c r="FL45" i="5"/>
  <c r="FI37" i="5"/>
  <c r="FL32" i="5"/>
  <c r="FL152" i="5"/>
  <c r="FL145" i="5"/>
  <c r="FI260" i="5"/>
  <c r="FL231" i="5"/>
  <c r="FI25" i="5"/>
  <c r="FL14" i="5"/>
  <c r="FI195" i="5"/>
  <c r="FL189" i="5"/>
  <c r="FL298" i="5"/>
  <c r="FI329" i="5"/>
  <c r="FL319" i="5"/>
  <c r="FI225" i="5"/>
  <c r="FL220" i="5"/>
  <c r="FI230" i="5"/>
  <c r="FL226" i="5"/>
  <c r="FI318" i="5"/>
  <c r="FL314" i="5"/>
  <c r="FL56" i="5"/>
  <c r="FF81" i="5"/>
  <c r="FI78" i="5"/>
  <c r="FF188" i="5"/>
  <c r="FI181" i="5"/>
  <c r="FF187" i="5"/>
  <c r="FI177" i="5"/>
  <c r="FI298" i="5"/>
  <c r="FC333" i="5"/>
  <c r="FF144" i="5"/>
  <c r="FC197" i="5"/>
  <c r="FF196" i="5"/>
  <c r="FC84" i="5"/>
  <c r="FF83" i="5"/>
  <c r="FC199" i="5"/>
  <c r="FF198" i="5"/>
  <c r="FC302" i="5"/>
  <c r="FF299" i="5"/>
  <c r="FF5" i="5"/>
  <c r="FC143" i="5"/>
  <c r="FF140" i="5"/>
  <c r="FI140" i="5" s="1"/>
  <c r="FF26" i="5"/>
  <c r="FC142" i="5"/>
  <c r="FF141" i="5"/>
  <c r="FF86" i="5"/>
  <c r="FC55" i="5"/>
  <c r="FF47" i="5"/>
  <c r="FC313" i="5"/>
  <c r="FF307" i="5"/>
  <c r="FF298" i="5"/>
  <c r="FF40" i="5"/>
  <c r="FC298" i="5"/>
  <c r="EZ98" i="5"/>
  <c r="EW103" i="5"/>
  <c r="EW335" i="5" s="1"/>
  <c r="EQ167" i="5"/>
  <c r="EQ164" i="5"/>
  <c r="EN186" i="5"/>
  <c r="EQ70" i="5"/>
  <c r="EN80" i="5"/>
  <c r="DU14" i="4"/>
  <c r="EK260" i="5"/>
  <c r="D15" i="55"/>
  <c r="D16" i="55" s="1"/>
  <c r="C15" i="55"/>
  <c r="C16" i="55" s="1"/>
  <c r="EK329" i="5"/>
  <c r="EK318" i="5"/>
  <c r="EK313" i="5"/>
  <c r="EK306" i="5"/>
  <c r="EK302" i="5"/>
  <c r="EK298" i="5"/>
  <c r="EK295" i="5"/>
  <c r="EK294" i="5"/>
  <c r="EK293" i="5"/>
  <c r="EK230" i="5"/>
  <c r="EK224" i="5"/>
  <c r="EK223" i="5"/>
  <c r="EK199" i="5"/>
  <c r="EL186" i="5"/>
  <c r="EK163" i="5"/>
  <c r="EK162" i="5"/>
  <c r="EK151" i="5"/>
  <c r="EK150" i="5"/>
  <c r="EK143" i="5"/>
  <c r="EK142" i="5"/>
  <c r="EK139" i="5"/>
  <c r="EK138" i="5"/>
  <c r="EK131" i="5"/>
  <c r="EK130" i="5"/>
  <c r="EK129" i="5"/>
  <c r="EK121" i="5"/>
  <c r="EK120" i="5"/>
  <c r="EK116" i="5"/>
  <c r="EK115" i="5"/>
  <c r="EL101" i="5"/>
  <c r="EK87" i="5"/>
  <c r="EK84" i="5"/>
  <c r="EK81" i="5"/>
  <c r="EK69" i="5"/>
  <c r="EK68" i="5"/>
  <c r="EK43" i="5"/>
  <c r="EK37" i="5"/>
  <c r="EK31" i="5"/>
  <c r="EK25" i="5"/>
  <c r="EK24" i="5"/>
  <c r="EK23" i="5"/>
  <c r="EK8" i="5"/>
  <c r="DU115" i="4"/>
  <c r="F6" i="54"/>
  <c r="F7" i="54"/>
  <c r="DU33" i="4"/>
  <c r="C8" i="63" s="1"/>
  <c r="DS115" i="4"/>
  <c r="E6" i="54"/>
  <c r="DS89" i="4"/>
  <c r="DS33" i="4"/>
  <c r="DS22" i="4"/>
  <c r="EI329" i="5"/>
  <c r="EI318" i="5"/>
  <c r="EI313" i="5"/>
  <c r="EI306" i="5"/>
  <c r="EI302" i="5"/>
  <c r="EI298" i="5"/>
  <c r="EI295" i="5"/>
  <c r="EI294" i="5"/>
  <c r="EI293" i="5"/>
  <c r="EI260" i="5"/>
  <c r="EI230" i="5"/>
  <c r="EI199" i="5"/>
  <c r="EI197" i="5"/>
  <c r="EI163" i="5"/>
  <c r="EI162" i="5"/>
  <c r="EI151" i="5"/>
  <c r="EI150" i="5"/>
  <c r="EI143" i="5"/>
  <c r="EI142" i="5"/>
  <c r="EI139" i="5"/>
  <c r="EI138" i="5"/>
  <c r="EI131" i="5"/>
  <c r="EI130" i="5"/>
  <c r="EI129" i="5"/>
  <c r="EI121" i="5"/>
  <c r="EI120" i="5"/>
  <c r="EI116" i="5"/>
  <c r="EI115" i="5"/>
  <c r="EI102" i="5"/>
  <c r="EI87" i="5"/>
  <c r="EI84" i="5"/>
  <c r="EI81" i="5"/>
  <c r="EI69" i="5"/>
  <c r="EI43" i="5"/>
  <c r="EI37" i="5"/>
  <c r="EI31" i="5"/>
  <c r="EI25" i="5"/>
  <c r="EI24" i="5"/>
  <c r="EI23" i="5"/>
  <c r="EI8" i="5"/>
  <c r="F16" i="55"/>
  <c r="E16" i="55"/>
  <c r="F13" i="55"/>
  <c r="E13" i="55"/>
  <c r="F10" i="55"/>
  <c r="E10" i="55"/>
  <c r="E25" i="54"/>
  <c r="D25" i="54"/>
  <c r="C25" i="54"/>
  <c r="EF80" i="5"/>
  <c r="EF319" i="5"/>
  <c r="EF339" i="5" s="1"/>
  <c r="EF318" i="5"/>
  <c r="EF313" i="5"/>
  <c r="EF306" i="5"/>
  <c r="EF302" i="5"/>
  <c r="EF298" i="5"/>
  <c r="EG295" i="5"/>
  <c r="EF295" i="5"/>
  <c r="EF294" i="5"/>
  <c r="EF293" i="5"/>
  <c r="EF260" i="5"/>
  <c r="EF230" i="5"/>
  <c r="EF225" i="5"/>
  <c r="EF224" i="5"/>
  <c r="EF223" i="5"/>
  <c r="EF199" i="5"/>
  <c r="EF197" i="5"/>
  <c r="EF195" i="5"/>
  <c r="EF188" i="5"/>
  <c r="EF187" i="5"/>
  <c r="EF163" i="5"/>
  <c r="EF162" i="5"/>
  <c r="EF151" i="5"/>
  <c r="EF150" i="5"/>
  <c r="EF143" i="5"/>
  <c r="EF142" i="5"/>
  <c r="EF139" i="5"/>
  <c r="EF138" i="5"/>
  <c r="EG131" i="5"/>
  <c r="EF131" i="5"/>
  <c r="EF130" i="5"/>
  <c r="EF129" i="5"/>
  <c r="EG121" i="5"/>
  <c r="EF121" i="5"/>
  <c r="EG120" i="5"/>
  <c r="EF120" i="5"/>
  <c r="EF116" i="5"/>
  <c r="EF115" i="5"/>
  <c r="EF103" i="5"/>
  <c r="EF102" i="5"/>
  <c r="EF101" i="5"/>
  <c r="EF87" i="5"/>
  <c r="EF84" i="5"/>
  <c r="EF81" i="5"/>
  <c r="EG69" i="5"/>
  <c r="EF69" i="5"/>
  <c r="EF68" i="5"/>
  <c r="EF54" i="5"/>
  <c r="EF43" i="5"/>
  <c r="EF37" i="5"/>
  <c r="EF31" i="5"/>
  <c r="EF25" i="5"/>
  <c r="EF24" i="5"/>
  <c r="EF23" i="5"/>
  <c r="EF8" i="5"/>
  <c r="DP111" i="4"/>
  <c r="DP89" i="4"/>
  <c r="DP33" i="4"/>
  <c r="DP115" i="4"/>
  <c r="DM10" i="4"/>
  <c r="DM7" i="4"/>
  <c r="AA19" i="53"/>
  <c r="AA23" i="53" s="1"/>
  <c r="Z23" i="53"/>
  <c r="X23" i="53"/>
  <c r="W23" i="53"/>
  <c r="T23" i="53"/>
  <c r="Q23" i="53"/>
  <c r="N23" i="53"/>
  <c r="L23" i="53"/>
  <c r="K23" i="53"/>
  <c r="I23" i="53"/>
  <c r="H23" i="53"/>
  <c r="F23" i="53"/>
  <c r="E23" i="53"/>
  <c r="D23" i="53"/>
  <c r="C23" i="53"/>
  <c r="U20" i="53"/>
  <c r="U23" i="53" s="1"/>
  <c r="O20" i="53"/>
  <c r="O23" i="53" s="1"/>
  <c r="DM111" i="4"/>
  <c r="Z6" i="53" s="1"/>
  <c r="DN73" i="4"/>
  <c r="DQ73" i="4" s="1"/>
  <c r="EQ339" i="5" l="1"/>
  <c r="FI276" i="5"/>
  <c r="FF293" i="5"/>
  <c r="D7" i="57"/>
  <c r="D8" i="57"/>
  <c r="R20" i="53"/>
  <c r="R23" i="53" s="1"/>
  <c r="FL68" i="5"/>
  <c r="FO56" i="5"/>
  <c r="FO68" i="5" s="1"/>
  <c r="FL25" i="5"/>
  <c r="FO14" i="5"/>
  <c r="FO25" i="5" s="1"/>
  <c r="FL195" i="5"/>
  <c r="FO189" i="5"/>
  <c r="FO195" i="5" s="1"/>
  <c r="FL318" i="5"/>
  <c r="FO314" i="5"/>
  <c r="FO318" i="5" s="1"/>
  <c r="FL260" i="5"/>
  <c r="FO231" i="5"/>
  <c r="FO260" i="5" s="1"/>
  <c r="FL230" i="5"/>
  <c r="FO226" i="5"/>
  <c r="FO230" i="5" s="1"/>
  <c r="FL151" i="5"/>
  <c r="FO145" i="5"/>
  <c r="FO151" i="5" s="1"/>
  <c r="FL225" i="5"/>
  <c r="FO220" i="5"/>
  <c r="FO225" i="5" s="1"/>
  <c r="FO152" i="5"/>
  <c r="FO162" i="5" s="1"/>
  <c r="FL162" i="5"/>
  <c r="FL37" i="5"/>
  <c r="FO32" i="5"/>
  <c r="FO37" i="5" s="1"/>
  <c r="FL163" i="5"/>
  <c r="FO159" i="5"/>
  <c r="FO163" i="5" s="1"/>
  <c r="FL329" i="5"/>
  <c r="FO319" i="5"/>
  <c r="FL54" i="5"/>
  <c r="FO45" i="5"/>
  <c r="FO54" i="5" s="1"/>
  <c r="FI187" i="5"/>
  <c r="FL177" i="5"/>
  <c r="FI188" i="5"/>
  <c r="FL181" i="5"/>
  <c r="FI81" i="5"/>
  <c r="FL78" i="5"/>
  <c r="FI143" i="5"/>
  <c r="FL140" i="5"/>
  <c r="F8" i="61"/>
  <c r="F8" i="60"/>
  <c r="E5" i="60"/>
  <c r="E5" i="61"/>
  <c r="E8" i="61"/>
  <c r="E8" i="60"/>
  <c r="E7" i="60"/>
  <c r="E7" i="61"/>
  <c r="FF313" i="5"/>
  <c r="FI307" i="5"/>
  <c r="FF8" i="5"/>
  <c r="FI5" i="5"/>
  <c r="FF55" i="5"/>
  <c r="FI47" i="5"/>
  <c r="FF302" i="5"/>
  <c r="FI299" i="5"/>
  <c r="FL299" i="5" s="1"/>
  <c r="FF87" i="5"/>
  <c r="FI86" i="5"/>
  <c r="FI87" i="5" s="1"/>
  <c r="FF199" i="5"/>
  <c r="FI198" i="5"/>
  <c r="FF150" i="5"/>
  <c r="FI144" i="5"/>
  <c r="FI150" i="5" s="1"/>
  <c r="FF142" i="5"/>
  <c r="FI141" i="5"/>
  <c r="FF84" i="5"/>
  <c r="FI83" i="5"/>
  <c r="FF31" i="5"/>
  <c r="FI26" i="5"/>
  <c r="FF197" i="5"/>
  <c r="FI196" i="5"/>
  <c r="FF43" i="5"/>
  <c r="FI40" i="5"/>
  <c r="EN332" i="5"/>
  <c r="FF143" i="5"/>
  <c r="FF333" i="5"/>
  <c r="EZ103" i="5"/>
  <c r="EZ335" i="5" s="1"/>
  <c r="FC98" i="5"/>
  <c r="ET70" i="5"/>
  <c r="EQ80" i="5"/>
  <c r="ET164" i="5"/>
  <c r="EQ186" i="5"/>
  <c r="ET167" i="5"/>
  <c r="E5" i="54"/>
  <c r="E5" i="58"/>
  <c r="E5" i="59"/>
  <c r="E5" i="56"/>
  <c r="E8" i="54"/>
  <c r="E8" i="56"/>
  <c r="E8" i="59"/>
  <c r="E8" i="58"/>
  <c r="E7" i="54"/>
  <c r="E7" i="58"/>
  <c r="E7" i="56"/>
  <c r="H7" i="56" s="1"/>
  <c r="E7" i="59"/>
  <c r="F8" i="59"/>
  <c r="F8" i="56"/>
  <c r="F8" i="58"/>
  <c r="DV14" i="4"/>
  <c r="DX14" i="4"/>
  <c r="C7" i="55"/>
  <c r="C7" i="57"/>
  <c r="F17" i="55"/>
  <c r="E17" i="55"/>
  <c r="D7" i="55"/>
  <c r="F8" i="54"/>
  <c r="DV33" i="4"/>
  <c r="DU22" i="4"/>
  <c r="C5" i="63" s="1"/>
  <c r="C9" i="63" s="1"/>
  <c r="EK335" i="5"/>
  <c r="C13" i="63" s="1"/>
  <c r="EL195" i="5"/>
  <c r="EL8" i="5"/>
  <c r="EL138" i="5"/>
  <c r="EL23" i="5"/>
  <c r="EL87" i="5"/>
  <c r="EL139" i="5"/>
  <c r="EL142" i="5"/>
  <c r="EL223" i="5"/>
  <c r="EL25" i="5"/>
  <c r="EL224" i="5"/>
  <c r="EL31" i="5"/>
  <c r="EL103" i="5"/>
  <c r="EL150" i="5"/>
  <c r="EL225" i="5"/>
  <c r="EL37" i="5"/>
  <c r="EL115" i="5"/>
  <c r="EL151" i="5"/>
  <c r="EL43" i="5"/>
  <c r="EL162" i="5"/>
  <c r="EL54" i="5"/>
  <c r="EL163" i="5"/>
  <c r="EL68" i="5"/>
  <c r="EL129" i="5"/>
  <c r="EL187" i="5"/>
  <c r="EL80" i="5"/>
  <c r="EL130" i="5"/>
  <c r="EL188" i="5"/>
  <c r="EK333" i="5"/>
  <c r="EF329" i="5"/>
  <c r="D8" i="55"/>
  <c r="EK332" i="5"/>
  <c r="H6" i="54"/>
  <c r="DS113" i="4"/>
  <c r="DS1" i="4" s="1"/>
  <c r="EI335" i="5"/>
  <c r="H13" i="63" s="1"/>
  <c r="EI333" i="5"/>
  <c r="EI332" i="5"/>
  <c r="EF335" i="5"/>
  <c r="EF333" i="5"/>
  <c r="DP22" i="4"/>
  <c r="DP113" i="4" s="1"/>
  <c r="DP1" i="4" s="1"/>
  <c r="ED272" i="5"/>
  <c r="EG272" i="5" s="1"/>
  <c r="ET339" i="5" l="1"/>
  <c r="FL276" i="5"/>
  <c r="FI293" i="5"/>
  <c r="E12" i="61"/>
  <c r="C6" i="57"/>
  <c r="C8" i="57"/>
  <c r="C9" i="55"/>
  <c r="F12" i="61"/>
  <c r="C12" i="63"/>
  <c r="C14" i="63" s="1"/>
  <c r="C29" i="63" s="1"/>
  <c r="FL81" i="5"/>
  <c r="FO78" i="5"/>
  <c r="FO81" i="5" s="1"/>
  <c r="FL188" i="5"/>
  <c r="FO181" i="5"/>
  <c r="FO188" i="5" s="1"/>
  <c r="FL187" i="5"/>
  <c r="FO177" i="5"/>
  <c r="FO187" i="5" s="1"/>
  <c r="FL302" i="5"/>
  <c r="FO299" i="5"/>
  <c r="FO302" i="5" s="1"/>
  <c r="FL143" i="5"/>
  <c r="FO140" i="5"/>
  <c r="FO143" i="5" s="1"/>
  <c r="FI333" i="5"/>
  <c r="FO329" i="5"/>
  <c r="FI142" i="5"/>
  <c r="FL141" i="5"/>
  <c r="FI8" i="5"/>
  <c r="FL5" i="5"/>
  <c r="FL144" i="5"/>
  <c r="FI313" i="5"/>
  <c r="FL307" i="5"/>
  <c r="FI199" i="5"/>
  <c r="FL198" i="5"/>
  <c r="FI43" i="5"/>
  <c r="FL40" i="5"/>
  <c r="FI197" i="5"/>
  <c r="FL196" i="5"/>
  <c r="FL86" i="5"/>
  <c r="FI31" i="5"/>
  <c r="FL26" i="5"/>
  <c r="FI84" i="5"/>
  <c r="FL83" i="5"/>
  <c r="FI55" i="5"/>
  <c r="FL47" i="5"/>
  <c r="F5" i="60"/>
  <c r="F9" i="60" s="1"/>
  <c r="F5" i="61"/>
  <c r="F9" i="61" s="1"/>
  <c r="C6" i="55"/>
  <c r="E9" i="61"/>
  <c r="E9" i="60"/>
  <c r="E13" i="60"/>
  <c r="E13" i="61"/>
  <c r="F13" i="60"/>
  <c r="F13" i="61"/>
  <c r="I12" i="60"/>
  <c r="I14" i="60" s="1"/>
  <c r="I12" i="61"/>
  <c r="I14" i="61" s="1"/>
  <c r="I12" i="59"/>
  <c r="I14" i="59" s="1"/>
  <c r="EN337" i="5"/>
  <c r="EN1" i="5" s="1"/>
  <c r="I12" i="58"/>
  <c r="I14" i="58" s="1"/>
  <c r="FI302" i="5"/>
  <c r="FC103" i="5"/>
  <c r="FC335" i="5" s="1"/>
  <c r="FF98" i="5"/>
  <c r="F12" i="59"/>
  <c r="F12" i="60"/>
  <c r="E12" i="59"/>
  <c r="E12" i="60"/>
  <c r="EW164" i="5"/>
  <c r="ET186" i="5"/>
  <c r="EQ332" i="5"/>
  <c r="EW167" i="5"/>
  <c r="EW70" i="5"/>
  <c r="ET80" i="5"/>
  <c r="H7" i="54"/>
  <c r="C8" i="55"/>
  <c r="F13" i="58"/>
  <c r="F13" i="59"/>
  <c r="E13" i="58"/>
  <c r="E13" i="59"/>
  <c r="C9" i="57"/>
  <c r="E9" i="54"/>
  <c r="EA14" i="4"/>
  <c r="DX22" i="4"/>
  <c r="E9" i="56"/>
  <c r="E9" i="59"/>
  <c r="DU113" i="4"/>
  <c r="DU1" i="4" s="1"/>
  <c r="F5" i="58"/>
  <c r="F9" i="58" s="1"/>
  <c r="F5" i="59"/>
  <c r="F9" i="59" s="1"/>
  <c r="F5" i="56"/>
  <c r="E9" i="58"/>
  <c r="H8" i="56"/>
  <c r="G8" i="56"/>
  <c r="F12" i="56"/>
  <c r="G12" i="56" s="1"/>
  <c r="F12" i="58"/>
  <c r="E12" i="56"/>
  <c r="E12" i="58"/>
  <c r="H8" i="54"/>
  <c r="D9" i="57"/>
  <c r="F13" i="54"/>
  <c r="F13" i="56"/>
  <c r="E13" i="54"/>
  <c r="E13" i="56"/>
  <c r="D9" i="55"/>
  <c r="G8" i="54"/>
  <c r="F5" i="54"/>
  <c r="D10" i="62" s="1"/>
  <c r="DV22" i="4"/>
  <c r="EK337" i="5"/>
  <c r="EK1" i="5" s="1"/>
  <c r="F12" i="54"/>
  <c r="EI337" i="5"/>
  <c r="EI1" i="5" s="1"/>
  <c r="E12" i="54"/>
  <c r="EC84" i="5"/>
  <c r="ED82" i="5"/>
  <c r="EG82" i="5" s="1"/>
  <c r="EC329" i="5"/>
  <c r="EC318" i="5"/>
  <c r="EC313" i="5"/>
  <c r="EC306" i="5"/>
  <c r="EC302" i="5"/>
  <c r="EC298" i="5"/>
  <c r="ED295" i="5"/>
  <c r="EC295" i="5"/>
  <c r="EC294" i="5"/>
  <c r="EC293" i="5"/>
  <c r="EC260" i="5"/>
  <c r="EC230" i="5"/>
  <c r="EC225" i="5"/>
  <c r="EC224" i="5"/>
  <c r="EC223" i="5"/>
  <c r="EC199" i="5"/>
  <c r="EC197" i="5"/>
  <c r="EC195" i="5"/>
  <c r="EC188" i="5"/>
  <c r="EC187" i="5"/>
  <c r="EC186" i="5"/>
  <c r="EC163" i="5"/>
  <c r="EC162" i="5"/>
  <c r="EC151" i="5"/>
  <c r="EC150" i="5"/>
  <c r="EC143" i="5"/>
  <c r="EC142" i="5"/>
  <c r="EC139" i="5"/>
  <c r="EC138" i="5"/>
  <c r="ED131" i="5"/>
  <c r="EC131" i="5"/>
  <c r="EC130" i="5"/>
  <c r="EC129" i="5"/>
  <c r="ED121" i="5"/>
  <c r="EC121" i="5"/>
  <c r="ED120" i="5"/>
  <c r="EC120" i="5"/>
  <c r="EC116" i="5"/>
  <c r="EC115" i="5"/>
  <c r="EC103" i="5"/>
  <c r="EC102" i="5"/>
  <c r="EC101" i="5"/>
  <c r="EC87" i="5"/>
  <c r="EC81" i="5"/>
  <c r="EC80" i="5"/>
  <c r="ED69" i="5"/>
  <c r="EC69" i="5"/>
  <c r="EC68" i="5"/>
  <c r="EC54" i="5"/>
  <c r="EC43" i="5"/>
  <c r="EC37" i="5"/>
  <c r="EC31" i="5"/>
  <c r="EC25" i="5"/>
  <c r="EC24" i="5"/>
  <c r="EC23" i="5"/>
  <c r="EC8" i="5"/>
  <c r="DM115" i="4"/>
  <c r="DM89" i="4"/>
  <c r="Z7" i="53" s="1"/>
  <c r="DM33" i="4"/>
  <c r="Z8" i="53" s="1"/>
  <c r="DM22" i="4"/>
  <c r="Z5" i="53" s="1"/>
  <c r="DZ84" i="5"/>
  <c r="EA83" i="5"/>
  <c r="ED83" i="5" s="1"/>
  <c r="DZ329" i="5"/>
  <c r="DZ318" i="5"/>
  <c r="DZ313" i="5"/>
  <c r="DZ306" i="5"/>
  <c r="DZ302" i="5"/>
  <c r="DZ298" i="5"/>
  <c r="EA295" i="5"/>
  <c r="DZ295" i="5"/>
  <c r="DZ294" i="5"/>
  <c r="DZ293" i="5"/>
  <c r="DZ260" i="5"/>
  <c r="DZ230" i="5"/>
  <c r="DZ225" i="5"/>
  <c r="DZ224" i="5"/>
  <c r="DZ223" i="5"/>
  <c r="DZ199" i="5"/>
  <c r="DZ197" i="5"/>
  <c r="DZ195" i="5"/>
  <c r="DZ188" i="5"/>
  <c r="DZ187" i="5"/>
  <c r="DZ186" i="5"/>
  <c r="DZ163" i="5"/>
  <c r="DZ162" i="5"/>
  <c r="DZ151" i="5"/>
  <c r="DZ150" i="5"/>
  <c r="DZ143" i="5"/>
  <c r="DZ142" i="5"/>
  <c r="DZ139" i="5"/>
  <c r="DZ138" i="5"/>
  <c r="EA131" i="5"/>
  <c r="DZ131" i="5"/>
  <c r="DZ130" i="5"/>
  <c r="DZ129" i="5"/>
  <c r="EA121" i="5"/>
  <c r="DZ121" i="5"/>
  <c r="EA120" i="5"/>
  <c r="DZ120" i="5"/>
  <c r="DZ116" i="5"/>
  <c r="DZ115" i="5"/>
  <c r="DZ103" i="5"/>
  <c r="DZ102" i="5"/>
  <c r="DZ101" i="5"/>
  <c r="DZ87" i="5"/>
  <c r="DZ81" i="5"/>
  <c r="DZ80" i="5"/>
  <c r="EA69" i="5"/>
  <c r="DZ69" i="5"/>
  <c r="DZ68" i="5"/>
  <c r="DZ54" i="5"/>
  <c r="DZ43" i="5"/>
  <c r="DZ37" i="5"/>
  <c r="DZ31" i="5"/>
  <c r="DZ25" i="5"/>
  <c r="DZ24" i="5"/>
  <c r="DZ23" i="5"/>
  <c r="DZ8" i="5"/>
  <c r="DW151" i="5"/>
  <c r="DX146" i="5"/>
  <c r="EA146" i="5" s="1"/>
  <c r="ED146" i="5" s="1"/>
  <c r="EG146" i="5" s="1"/>
  <c r="DJ115" i="4"/>
  <c r="DJ111" i="4"/>
  <c r="DJ89" i="4"/>
  <c r="DJ33" i="4"/>
  <c r="DJ22" i="4"/>
  <c r="W23" i="52"/>
  <c r="X23" i="52"/>
  <c r="T23" i="52"/>
  <c r="Q23" i="52"/>
  <c r="N23" i="52"/>
  <c r="L23" i="52"/>
  <c r="K23" i="52"/>
  <c r="I23" i="52"/>
  <c r="H23" i="52"/>
  <c r="F23" i="52"/>
  <c r="E23" i="52"/>
  <c r="D23" i="52"/>
  <c r="C23" i="52"/>
  <c r="U20" i="52"/>
  <c r="U23" i="52" s="1"/>
  <c r="O20" i="52"/>
  <c r="O23" i="52" s="1"/>
  <c r="DW329" i="5"/>
  <c r="DW318" i="5"/>
  <c r="DW313" i="5"/>
  <c r="DW306" i="5"/>
  <c r="DW302" i="5"/>
  <c r="DW298" i="5"/>
  <c r="DX295" i="5"/>
  <c r="DW295" i="5"/>
  <c r="DW294" i="5"/>
  <c r="DW293" i="5"/>
  <c r="DW260" i="5"/>
  <c r="DW230" i="5"/>
  <c r="DW225" i="5"/>
  <c r="DW224" i="5"/>
  <c r="DW223" i="5"/>
  <c r="DW199" i="5"/>
  <c r="DW197" i="5"/>
  <c r="DW195" i="5"/>
  <c r="DW188" i="5"/>
  <c r="DW187" i="5"/>
  <c r="DW186" i="5"/>
  <c r="DW163" i="5"/>
  <c r="DW162" i="5"/>
  <c r="DW150" i="5"/>
  <c r="DW143" i="5"/>
  <c r="DW142" i="5"/>
  <c r="DW139" i="5"/>
  <c r="DW138" i="5"/>
  <c r="DX131" i="5"/>
  <c r="DW131" i="5"/>
  <c r="DW130" i="5"/>
  <c r="DW129" i="5"/>
  <c r="DX121" i="5"/>
  <c r="DW121" i="5"/>
  <c r="DX120" i="5"/>
  <c r="DW120" i="5"/>
  <c r="DW116" i="5"/>
  <c r="DW115" i="5"/>
  <c r="DW103" i="5"/>
  <c r="DW102" i="5"/>
  <c r="DW101" i="5"/>
  <c r="DW87" i="5"/>
  <c r="DW81" i="5"/>
  <c r="DW80" i="5"/>
  <c r="DX69" i="5"/>
  <c r="DW69" i="5"/>
  <c r="DW68" i="5"/>
  <c r="DW54" i="5"/>
  <c r="DW43" i="5"/>
  <c r="DW37" i="5"/>
  <c r="DW31" i="5"/>
  <c r="DW25" i="5"/>
  <c r="DW24" i="5"/>
  <c r="DW23" i="5"/>
  <c r="DW8" i="5"/>
  <c r="EW339" i="5" l="1"/>
  <c r="FO276" i="5"/>
  <c r="FL293" i="5"/>
  <c r="E14" i="61"/>
  <c r="E27" i="61" s="1"/>
  <c r="C10" i="57"/>
  <c r="R20" i="52"/>
  <c r="R23" i="52" s="1"/>
  <c r="C16" i="63"/>
  <c r="F14" i="61"/>
  <c r="F27" i="61" s="1"/>
  <c r="C10" i="62"/>
  <c r="C10" i="55"/>
  <c r="E14" i="63"/>
  <c r="H12" i="63"/>
  <c r="FL199" i="5"/>
  <c r="FO198" i="5"/>
  <c r="FO199" i="5" s="1"/>
  <c r="FL55" i="5"/>
  <c r="FO47" i="5"/>
  <c r="FO55" i="5" s="1"/>
  <c r="FL313" i="5"/>
  <c r="FO307" i="5"/>
  <c r="FO313" i="5" s="1"/>
  <c r="FL84" i="5"/>
  <c r="FO83" i="5"/>
  <c r="FO84" i="5" s="1"/>
  <c r="FL150" i="5"/>
  <c r="FO144" i="5"/>
  <c r="FO150" i="5" s="1"/>
  <c r="FL31" i="5"/>
  <c r="FO26" i="5"/>
  <c r="FO31" i="5" s="1"/>
  <c r="FL8" i="5"/>
  <c r="FO5" i="5"/>
  <c r="FO8" i="5" s="1"/>
  <c r="D12" i="55"/>
  <c r="FL87" i="5"/>
  <c r="FO86" i="5"/>
  <c r="FO87" i="5" s="1"/>
  <c r="FL142" i="5"/>
  <c r="FO141" i="5"/>
  <c r="FO142" i="5" s="1"/>
  <c r="C13" i="62"/>
  <c r="FL197" i="5"/>
  <c r="FO196" i="5"/>
  <c r="FO197" i="5" s="1"/>
  <c r="D11" i="57"/>
  <c r="FL43" i="5"/>
  <c r="FO40" i="5"/>
  <c r="FO43" i="5" s="1"/>
  <c r="FL333" i="5"/>
  <c r="E14" i="60"/>
  <c r="E16" i="60" s="1"/>
  <c r="F14" i="60"/>
  <c r="F16" i="60" s="1"/>
  <c r="I5" i="60"/>
  <c r="I9" i="60" s="1"/>
  <c r="I16" i="60" s="1"/>
  <c r="I5" i="61"/>
  <c r="I9" i="61" s="1"/>
  <c r="I16" i="61" s="1"/>
  <c r="EA22" i="4"/>
  <c r="EA113" i="4" s="1"/>
  <c r="EA1" i="4" s="1"/>
  <c r="ED14" i="4"/>
  <c r="L12" i="60"/>
  <c r="L14" i="60" s="1"/>
  <c r="L12" i="61"/>
  <c r="L14" i="61" s="1"/>
  <c r="E16" i="61"/>
  <c r="O13" i="60"/>
  <c r="O13" i="61"/>
  <c r="F14" i="59"/>
  <c r="F16" i="59" s="1"/>
  <c r="FF103" i="5"/>
  <c r="FF335" i="5" s="1"/>
  <c r="FI98" i="5"/>
  <c r="FI103" i="5" s="1"/>
  <c r="E14" i="59"/>
  <c r="E27" i="59" s="1"/>
  <c r="ET332" i="5"/>
  <c r="ET337" i="5" s="1"/>
  <c r="ET1" i="5" s="1"/>
  <c r="EZ70" i="5"/>
  <c r="EW80" i="5"/>
  <c r="EZ167" i="5"/>
  <c r="EQ337" i="5"/>
  <c r="EQ1" i="5" s="1"/>
  <c r="L12" i="59"/>
  <c r="L14" i="59" s="1"/>
  <c r="EZ164" i="5"/>
  <c r="FC164" i="5" s="1"/>
  <c r="EW186" i="5"/>
  <c r="F14" i="58"/>
  <c r="F27" i="58" s="1"/>
  <c r="H12" i="56"/>
  <c r="F14" i="56"/>
  <c r="E14" i="58"/>
  <c r="E16" i="58" s="1"/>
  <c r="Z9" i="53"/>
  <c r="H5" i="56"/>
  <c r="F9" i="56"/>
  <c r="DX113" i="4"/>
  <c r="DX1" i="4" s="1"/>
  <c r="I5" i="58"/>
  <c r="I9" i="58" s="1"/>
  <c r="DY22" i="4"/>
  <c r="I5" i="59"/>
  <c r="I9" i="59" s="1"/>
  <c r="E14" i="56"/>
  <c r="E16" i="56" s="1"/>
  <c r="D6" i="57"/>
  <c r="D10" i="57" s="1"/>
  <c r="H13" i="54"/>
  <c r="C11" i="57"/>
  <c r="E14" i="54"/>
  <c r="C12" i="55"/>
  <c r="C12" i="57"/>
  <c r="H13" i="56"/>
  <c r="G13" i="56"/>
  <c r="G13" i="54"/>
  <c r="D12" i="57"/>
  <c r="D11" i="55"/>
  <c r="G12" i="54"/>
  <c r="W8" i="52"/>
  <c r="W8" i="53"/>
  <c r="W7" i="52"/>
  <c r="W7" i="53"/>
  <c r="W5" i="52"/>
  <c r="W5" i="53"/>
  <c r="W6" i="52"/>
  <c r="W6" i="53"/>
  <c r="F9" i="54"/>
  <c r="D6" i="55"/>
  <c r="D10" i="55" s="1"/>
  <c r="H5" i="54"/>
  <c r="EA84" i="5"/>
  <c r="ED84" i="5"/>
  <c r="EG83" i="5"/>
  <c r="EG84" i="5" s="1"/>
  <c r="F14" i="54"/>
  <c r="C11" i="55"/>
  <c r="H12" i="54"/>
  <c r="DM113" i="4"/>
  <c r="DM1" i="4" s="1"/>
  <c r="DZ333" i="5"/>
  <c r="EC333" i="5"/>
  <c r="EC335" i="5"/>
  <c r="Z13" i="53" s="1"/>
  <c r="EC332" i="5"/>
  <c r="Z12" i="53" s="1"/>
  <c r="DZ332" i="5"/>
  <c r="DZ335" i="5"/>
  <c r="DW335" i="5"/>
  <c r="DW332" i="5"/>
  <c r="DJ113" i="4"/>
  <c r="DJ1" i="4" s="1"/>
  <c r="DW333" i="5"/>
  <c r="U20" i="51"/>
  <c r="U23" i="51" s="1"/>
  <c r="E23" i="51"/>
  <c r="DT318" i="5"/>
  <c r="DT329" i="5"/>
  <c r="DT313" i="5"/>
  <c r="DT306" i="5"/>
  <c r="DT302" i="5"/>
  <c r="DT298" i="5"/>
  <c r="DU295" i="5"/>
  <c r="DT295" i="5"/>
  <c r="DT294" i="5"/>
  <c r="DT293" i="5"/>
  <c r="DT260" i="5"/>
  <c r="DT230" i="5"/>
  <c r="DT225" i="5"/>
  <c r="DT224" i="5"/>
  <c r="DT223" i="5"/>
  <c r="DT199" i="5"/>
  <c r="DT197" i="5"/>
  <c r="DT195" i="5"/>
  <c r="DT188" i="5"/>
  <c r="DT187" i="5"/>
  <c r="DT186" i="5"/>
  <c r="DT163" i="5"/>
  <c r="DT162" i="5"/>
  <c r="DT151" i="5"/>
  <c r="DT150" i="5"/>
  <c r="DT143" i="5"/>
  <c r="DT142" i="5"/>
  <c r="DT139" i="5"/>
  <c r="DT138" i="5"/>
  <c r="DU131" i="5"/>
  <c r="DT131" i="5"/>
  <c r="DT130" i="5"/>
  <c r="DT129" i="5"/>
  <c r="DU121" i="5"/>
  <c r="DT121" i="5"/>
  <c r="DU120" i="5"/>
  <c r="DT120" i="5"/>
  <c r="DT116" i="5"/>
  <c r="DT115" i="5"/>
  <c r="DT103" i="5"/>
  <c r="DT102" i="5"/>
  <c r="DT101" i="5"/>
  <c r="DT87" i="5"/>
  <c r="DT81" i="5"/>
  <c r="DT80" i="5"/>
  <c r="DU69" i="5"/>
  <c r="DT69" i="5"/>
  <c r="DT68" i="5"/>
  <c r="DT54" i="5"/>
  <c r="DT43" i="5"/>
  <c r="DT37" i="5"/>
  <c r="DT31" i="5"/>
  <c r="DT25" i="5"/>
  <c r="DT24" i="5"/>
  <c r="DT23" i="5"/>
  <c r="DT8" i="5"/>
  <c r="DG111" i="4"/>
  <c r="T6" i="53" s="1"/>
  <c r="DH49" i="4"/>
  <c r="DK49" i="4" s="1"/>
  <c r="DN49" i="4" s="1"/>
  <c r="DQ49" i="4" s="1"/>
  <c r="DG115" i="4"/>
  <c r="DG89" i="4"/>
  <c r="T7" i="53" s="1"/>
  <c r="DG33" i="4"/>
  <c r="T8" i="53" s="1"/>
  <c r="DG22" i="4"/>
  <c r="T23" i="51"/>
  <c r="Q23" i="51"/>
  <c r="N23" i="51"/>
  <c r="L23" i="51"/>
  <c r="K23" i="51"/>
  <c r="I23" i="51"/>
  <c r="H23" i="51"/>
  <c r="F23" i="51"/>
  <c r="D23" i="51"/>
  <c r="C23" i="51"/>
  <c r="O20" i="51"/>
  <c r="R20" i="51" s="1"/>
  <c r="R23" i="51" s="1"/>
  <c r="DR96" i="5"/>
  <c r="DU96" i="5" s="1"/>
  <c r="DX96" i="5" s="1"/>
  <c r="EA96" i="5" s="1"/>
  <c r="ED96" i="5" s="1"/>
  <c r="EG96" i="5" s="1"/>
  <c r="DD111" i="4"/>
  <c r="Q6" i="53" s="1"/>
  <c r="DE67" i="4"/>
  <c r="DH67" i="4" s="1"/>
  <c r="DK67" i="4" s="1"/>
  <c r="DN67" i="4" s="1"/>
  <c r="DQ67" i="4" s="1"/>
  <c r="DE48" i="4"/>
  <c r="DH48" i="4" s="1"/>
  <c r="DK48" i="4" s="1"/>
  <c r="DN48" i="4" s="1"/>
  <c r="DQ48" i="4" s="1"/>
  <c r="DD115" i="4"/>
  <c r="DD89" i="4"/>
  <c r="Q7" i="53" s="1"/>
  <c r="DD33" i="4"/>
  <c r="Q8" i="53" s="1"/>
  <c r="DD22" i="4"/>
  <c r="Q5" i="53" s="1"/>
  <c r="Q23" i="50"/>
  <c r="N23" i="50"/>
  <c r="L23" i="50"/>
  <c r="K23" i="50"/>
  <c r="I23" i="50"/>
  <c r="H23" i="50"/>
  <c r="F23" i="50"/>
  <c r="E23" i="50"/>
  <c r="D23" i="50"/>
  <c r="C23" i="50"/>
  <c r="O20" i="50"/>
  <c r="O23" i="50" s="1"/>
  <c r="DQ163" i="5"/>
  <c r="DR156" i="5"/>
  <c r="DU156" i="5" s="1"/>
  <c r="DX156" i="5" s="1"/>
  <c r="EA156" i="5" s="1"/>
  <c r="ED156" i="5" s="1"/>
  <c r="EG156" i="5" s="1"/>
  <c r="DQ329" i="5"/>
  <c r="DQ318" i="5"/>
  <c r="DQ313" i="5"/>
  <c r="DQ306" i="5"/>
  <c r="DQ302" i="5"/>
  <c r="DQ298" i="5"/>
  <c r="DR295" i="5"/>
  <c r="DQ295" i="5"/>
  <c r="DQ294" i="5"/>
  <c r="DQ293" i="5"/>
  <c r="DQ260" i="5"/>
  <c r="DQ230" i="5"/>
  <c r="DQ225" i="5"/>
  <c r="DQ224" i="5"/>
  <c r="DQ223" i="5"/>
  <c r="DQ199" i="5"/>
  <c r="DQ197" i="5"/>
  <c r="DQ195" i="5"/>
  <c r="DQ188" i="5"/>
  <c r="DQ187" i="5"/>
  <c r="DQ186" i="5"/>
  <c r="DQ162" i="5"/>
  <c r="DQ151" i="5"/>
  <c r="DQ150" i="5"/>
  <c r="DQ143" i="5"/>
  <c r="DQ142" i="5"/>
  <c r="DQ139" i="5"/>
  <c r="DQ138" i="5"/>
  <c r="DR131" i="5"/>
  <c r="DQ131" i="5"/>
  <c r="DQ130" i="5"/>
  <c r="DQ129" i="5"/>
  <c r="DR121" i="5"/>
  <c r="DQ121" i="5"/>
  <c r="DR120" i="5"/>
  <c r="DQ120" i="5"/>
  <c r="DQ116" i="5"/>
  <c r="DQ115" i="5"/>
  <c r="DQ103" i="5"/>
  <c r="DQ102" i="5"/>
  <c r="DQ101" i="5"/>
  <c r="DQ87" i="5"/>
  <c r="DQ81" i="5"/>
  <c r="DQ80" i="5"/>
  <c r="DR69" i="5"/>
  <c r="DQ69" i="5"/>
  <c r="DQ68" i="5"/>
  <c r="DQ54" i="5"/>
  <c r="DQ43" i="5"/>
  <c r="DQ37" i="5"/>
  <c r="DQ31" i="5"/>
  <c r="DQ25" i="5"/>
  <c r="DQ24" i="5"/>
  <c r="DQ23" i="5"/>
  <c r="DQ8" i="5"/>
  <c r="DN329" i="5"/>
  <c r="DO323" i="5"/>
  <c r="DR323" i="5" s="1"/>
  <c r="DU323" i="5" s="1"/>
  <c r="DX323" i="5" s="1"/>
  <c r="EA323" i="5" s="1"/>
  <c r="ED323" i="5" s="1"/>
  <c r="EG323" i="5" s="1"/>
  <c r="DN23" i="5"/>
  <c r="DO11" i="5"/>
  <c r="DR11" i="5" s="1"/>
  <c r="DU11" i="5" s="1"/>
  <c r="DX11" i="5" s="1"/>
  <c r="EA11" i="5" s="1"/>
  <c r="ED11" i="5" s="1"/>
  <c r="EG11" i="5" s="1"/>
  <c r="DN318" i="5"/>
  <c r="DN313" i="5"/>
  <c r="DN306" i="5"/>
  <c r="DN302" i="5"/>
  <c r="DN298" i="5"/>
  <c r="DO295" i="5"/>
  <c r="DN295" i="5"/>
  <c r="DN294" i="5"/>
  <c r="DN293" i="5"/>
  <c r="DN260" i="5"/>
  <c r="DN230" i="5"/>
  <c r="DN225" i="5"/>
  <c r="DN224" i="5"/>
  <c r="DN223" i="5"/>
  <c r="DN199" i="5"/>
  <c r="DN197" i="5"/>
  <c r="DN195" i="5"/>
  <c r="DN188" i="5"/>
  <c r="DN187" i="5"/>
  <c r="DN186" i="5"/>
  <c r="DN163" i="5"/>
  <c r="DN162" i="5"/>
  <c r="DN151" i="5"/>
  <c r="DN150" i="5"/>
  <c r="DN143" i="5"/>
  <c r="DN142" i="5"/>
  <c r="DN139" i="5"/>
  <c r="DN138" i="5"/>
  <c r="DO131" i="5"/>
  <c r="DN131" i="5"/>
  <c r="DN130" i="5"/>
  <c r="DN129" i="5"/>
  <c r="DO121" i="5"/>
  <c r="DN121" i="5"/>
  <c r="DO120" i="5"/>
  <c r="DN120" i="5"/>
  <c r="DN116" i="5"/>
  <c r="DN115" i="5"/>
  <c r="DN103" i="5"/>
  <c r="DN102" i="5"/>
  <c r="DN101" i="5"/>
  <c r="DN87" i="5"/>
  <c r="DN81" i="5"/>
  <c r="DN80" i="5"/>
  <c r="DO69" i="5"/>
  <c r="DN69" i="5"/>
  <c r="DN68" i="5"/>
  <c r="DN54" i="5"/>
  <c r="DN43" i="5"/>
  <c r="DN37" i="5"/>
  <c r="DN31" i="5"/>
  <c r="DN25" i="5"/>
  <c r="DN24" i="5"/>
  <c r="DN8" i="5"/>
  <c r="N23" i="49"/>
  <c r="L23" i="49"/>
  <c r="K23" i="49"/>
  <c r="I23" i="49"/>
  <c r="H23" i="49"/>
  <c r="F23" i="49"/>
  <c r="E23" i="49"/>
  <c r="D23" i="49"/>
  <c r="C23" i="49"/>
  <c r="O20" i="49"/>
  <c r="O23" i="49" s="1"/>
  <c r="O20" i="48"/>
  <c r="O23" i="48" s="1"/>
  <c r="DK98" i="5"/>
  <c r="DL98" i="5" s="1"/>
  <c r="DK223" i="5"/>
  <c r="DL217" i="5"/>
  <c r="DO217" i="5" s="1"/>
  <c r="DR217" i="5" s="1"/>
  <c r="DU217" i="5" s="1"/>
  <c r="DX217" i="5" s="1"/>
  <c r="EA217" i="5" s="1"/>
  <c r="ED217" i="5" s="1"/>
  <c r="EG217" i="5" s="1"/>
  <c r="DA111" i="4"/>
  <c r="N6" i="53" s="1"/>
  <c r="DB75" i="4"/>
  <c r="DE75" i="4" s="1"/>
  <c r="DH75" i="4" s="1"/>
  <c r="DK75" i="4" s="1"/>
  <c r="DN75" i="4" s="1"/>
  <c r="DQ75" i="4" s="1"/>
  <c r="N23" i="48"/>
  <c r="L23" i="48"/>
  <c r="K23" i="48"/>
  <c r="I23" i="48"/>
  <c r="H23" i="48"/>
  <c r="F23" i="48"/>
  <c r="E23" i="48"/>
  <c r="D23" i="48"/>
  <c r="C23" i="48"/>
  <c r="DK329" i="5"/>
  <c r="DK318" i="5"/>
  <c r="DK313" i="5"/>
  <c r="DK306" i="5"/>
  <c r="DK302" i="5"/>
  <c r="DK298" i="5"/>
  <c r="DL295" i="5"/>
  <c r="DK295" i="5"/>
  <c r="DK294" i="5"/>
  <c r="DK293" i="5"/>
  <c r="DK260" i="5"/>
  <c r="DK230" i="5"/>
  <c r="DK225" i="5"/>
  <c r="DK224" i="5"/>
  <c r="DK199" i="5"/>
  <c r="DK197" i="5"/>
  <c r="DK195" i="5"/>
  <c r="DK188" i="5"/>
  <c r="DK187" i="5"/>
  <c r="DK186" i="5"/>
  <c r="DK163" i="5"/>
  <c r="DK162" i="5"/>
  <c r="DK151" i="5"/>
  <c r="DK150" i="5"/>
  <c r="DK143" i="5"/>
  <c r="DK142" i="5"/>
  <c r="DK139" i="5"/>
  <c r="DK138" i="5"/>
  <c r="DL131" i="5"/>
  <c r="DK131" i="5"/>
  <c r="DK130" i="5"/>
  <c r="DK129" i="5"/>
  <c r="DL121" i="5"/>
  <c r="DK121" i="5"/>
  <c r="DL120" i="5"/>
  <c r="DK120" i="5"/>
  <c r="DK116" i="5"/>
  <c r="DK115" i="5"/>
  <c r="DK102" i="5"/>
  <c r="DK101" i="5"/>
  <c r="DK87" i="5"/>
  <c r="DK81" i="5"/>
  <c r="DK80" i="5"/>
  <c r="DL69" i="5"/>
  <c r="DK69" i="5"/>
  <c r="DK68" i="5"/>
  <c r="DK54" i="5"/>
  <c r="DK43" i="5"/>
  <c r="DK37" i="5"/>
  <c r="DK31" i="5"/>
  <c r="DK25" i="5"/>
  <c r="DK24" i="5"/>
  <c r="DK23" i="5"/>
  <c r="DK8" i="5"/>
  <c r="DA115" i="4"/>
  <c r="DA89" i="4"/>
  <c r="N7" i="53" s="1"/>
  <c r="DA33" i="4"/>
  <c r="N8" i="53" s="1"/>
  <c r="DA22" i="4"/>
  <c r="N5" i="53" s="1"/>
  <c r="CX111" i="4"/>
  <c r="K6" i="53" s="1"/>
  <c r="CX89" i="4"/>
  <c r="K7" i="53" s="1"/>
  <c r="L23" i="47"/>
  <c r="K23" i="47"/>
  <c r="I23" i="47"/>
  <c r="H23" i="47"/>
  <c r="F23" i="47"/>
  <c r="E23" i="47"/>
  <c r="D23" i="47"/>
  <c r="C23" i="47"/>
  <c r="CU111" i="4"/>
  <c r="H6" i="53" s="1"/>
  <c r="CU89" i="4"/>
  <c r="H7" i="53" s="1"/>
  <c r="I23" i="46"/>
  <c r="H23" i="46"/>
  <c r="FC167" i="5" l="1"/>
  <c r="FC186" i="5" s="1"/>
  <c r="EZ339" i="5"/>
  <c r="FO293" i="5"/>
  <c r="C17" i="62"/>
  <c r="F16" i="61"/>
  <c r="I27" i="60"/>
  <c r="E27" i="60"/>
  <c r="FO333" i="5"/>
  <c r="L5" i="59"/>
  <c r="L9" i="59" s="1"/>
  <c r="L16" i="59" s="1"/>
  <c r="D13" i="55"/>
  <c r="D17" i="55" s="1"/>
  <c r="I27" i="61"/>
  <c r="D13" i="57"/>
  <c r="D17" i="57" s="1"/>
  <c r="H14" i="63"/>
  <c r="E16" i="63"/>
  <c r="D13" i="62"/>
  <c r="D17" i="62" s="1"/>
  <c r="FF164" i="5"/>
  <c r="F27" i="60"/>
  <c r="FI335" i="5"/>
  <c r="FL98" i="5"/>
  <c r="E16" i="59"/>
  <c r="ED22" i="4"/>
  <c r="EG14" i="4"/>
  <c r="EG22" i="4" s="1"/>
  <c r="D5" i="63" s="1"/>
  <c r="L5" i="61"/>
  <c r="L9" i="61" s="1"/>
  <c r="L16" i="61" s="1"/>
  <c r="L5" i="60"/>
  <c r="L9" i="60" s="1"/>
  <c r="F27" i="59"/>
  <c r="EZ80" i="5"/>
  <c r="FC70" i="5"/>
  <c r="F16" i="56"/>
  <c r="F16" i="58"/>
  <c r="EZ186" i="5"/>
  <c r="EW332" i="5"/>
  <c r="EW337" i="5" s="1"/>
  <c r="EW1" i="5" s="1"/>
  <c r="G14" i="56"/>
  <c r="E27" i="58"/>
  <c r="H14" i="56"/>
  <c r="F27" i="56"/>
  <c r="E27" i="56"/>
  <c r="I27" i="59"/>
  <c r="I16" i="59"/>
  <c r="I27" i="58"/>
  <c r="I16" i="58"/>
  <c r="H9" i="56"/>
  <c r="W9" i="52"/>
  <c r="C13" i="55"/>
  <c r="C17" i="55" s="1"/>
  <c r="C13" i="57"/>
  <c r="C17" i="57" s="1"/>
  <c r="Q9" i="53"/>
  <c r="N9" i="53"/>
  <c r="W9" i="53"/>
  <c r="H9" i="54"/>
  <c r="T5" i="52"/>
  <c r="T5" i="53"/>
  <c r="T9" i="53" s="1"/>
  <c r="Z14" i="53"/>
  <c r="Z16" i="53" s="1"/>
  <c r="W12" i="52"/>
  <c r="W12" i="53"/>
  <c r="W13" i="52"/>
  <c r="W13" i="53"/>
  <c r="F27" i="54"/>
  <c r="F16" i="54"/>
  <c r="E27" i="54"/>
  <c r="E16" i="54"/>
  <c r="H14" i="54"/>
  <c r="Q5" i="50"/>
  <c r="Q5" i="52"/>
  <c r="K6" i="47"/>
  <c r="K6" i="52"/>
  <c r="Q8" i="50"/>
  <c r="Q8" i="52"/>
  <c r="H7" i="46"/>
  <c r="H7" i="52"/>
  <c r="N5" i="48"/>
  <c r="N5" i="52"/>
  <c r="Q7" i="50"/>
  <c r="Q7" i="52"/>
  <c r="T6" i="51"/>
  <c r="T6" i="52"/>
  <c r="N6" i="49"/>
  <c r="N6" i="52"/>
  <c r="N7" i="50"/>
  <c r="N7" i="52"/>
  <c r="H6" i="46"/>
  <c r="H6" i="52"/>
  <c r="Q6" i="50"/>
  <c r="Q6" i="52"/>
  <c r="N8" i="48"/>
  <c r="N8" i="52"/>
  <c r="T7" i="51"/>
  <c r="T7" i="52"/>
  <c r="H7" i="51"/>
  <c r="K7" i="47"/>
  <c r="K7" i="52"/>
  <c r="K7" i="51"/>
  <c r="T8" i="51"/>
  <c r="T8" i="52"/>
  <c r="EC337" i="5"/>
  <c r="EC1" i="5" s="1"/>
  <c r="DZ337" i="5"/>
  <c r="DZ1" i="5" s="1"/>
  <c r="DW337" i="5"/>
  <c r="DW1" i="5" s="1"/>
  <c r="O23" i="51"/>
  <c r="R20" i="50"/>
  <c r="R23" i="50" s="1"/>
  <c r="DT335" i="5"/>
  <c r="T13" i="53" s="1"/>
  <c r="DT333" i="5"/>
  <c r="DT332" i="5"/>
  <c r="T12" i="53" s="1"/>
  <c r="N5" i="51"/>
  <c r="N6" i="51"/>
  <c r="N7" i="51"/>
  <c r="N8" i="51"/>
  <c r="K6" i="51"/>
  <c r="Q5" i="51"/>
  <c r="Q6" i="51"/>
  <c r="Q7" i="51"/>
  <c r="Q8" i="51"/>
  <c r="H6" i="51"/>
  <c r="DG113" i="4"/>
  <c r="DG1" i="4" s="1"/>
  <c r="T5" i="51"/>
  <c r="N5" i="50"/>
  <c r="N6" i="50"/>
  <c r="N6" i="48"/>
  <c r="N5" i="49"/>
  <c r="H7" i="49"/>
  <c r="H7" i="50"/>
  <c r="N7" i="48"/>
  <c r="H6" i="49"/>
  <c r="K7" i="49"/>
  <c r="N8" i="49"/>
  <c r="H6" i="50"/>
  <c r="K7" i="50"/>
  <c r="N8" i="50"/>
  <c r="K6" i="49"/>
  <c r="N7" i="49"/>
  <c r="K6" i="50"/>
  <c r="DD113" i="4"/>
  <c r="DD1" i="4" s="1"/>
  <c r="DQ335" i="5"/>
  <c r="DQ333" i="5"/>
  <c r="DQ332" i="5"/>
  <c r="DN333" i="5"/>
  <c r="DN335" i="5"/>
  <c r="DO98" i="5"/>
  <c r="DR98" i="5" s="1"/>
  <c r="DU98" i="5" s="1"/>
  <c r="DX98" i="5" s="1"/>
  <c r="EA98" i="5" s="1"/>
  <c r="ED98" i="5" s="1"/>
  <c r="EG98" i="5" s="1"/>
  <c r="DK103" i="5"/>
  <c r="DK335" i="5" s="1"/>
  <c r="N13" i="53" s="1"/>
  <c r="DN332" i="5"/>
  <c r="K7" i="48"/>
  <c r="H6" i="48"/>
  <c r="K6" i="48"/>
  <c r="H7" i="48"/>
  <c r="DK333" i="5"/>
  <c r="DK332" i="5"/>
  <c r="N12" i="53" s="1"/>
  <c r="DA113" i="4"/>
  <c r="DA1" i="4" s="1"/>
  <c r="H6" i="47"/>
  <c r="H7" i="47"/>
  <c r="FF167" i="5" l="1"/>
  <c r="FC339" i="5"/>
  <c r="L27" i="59"/>
  <c r="FI164" i="5"/>
  <c r="FL164" i="5" s="1"/>
  <c r="L27" i="61"/>
  <c r="G5" i="63"/>
  <c r="D9" i="63"/>
  <c r="FL103" i="5"/>
  <c r="FL335" i="5" s="1"/>
  <c r="R13" i="61" s="1"/>
  <c r="FO98" i="5"/>
  <c r="FO103" i="5" s="1"/>
  <c r="FO335" i="5" s="1"/>
  <c r="G13" i="63" s="1"/>
  <c r="FC80" i="5"/>
  <c r="FC332" i="5" s="1"/>
  <c r="L27" i="60"/>
  <c r="L16" i="60"/>
  <c r="R5" i="61"/>
  <c r="R9" i="61" s="1"/>
  <c r="EG113" i="4"/>
  <c r="EG1" i="4" s="1"/>
  <c r="O5" i="60"/>
  <c r="O9" i="60" s="1"/>
  <c r="O5" i="61"/>
  <c r="O9" i="61" s="1"/>
  <c r="ED113" i="4"/>
  <c r="ED1" i="4" s="1"/>
  <c r="FF70" i="5"/>
  <c r="FI70" i="5" s="1"/>
  <c r="FL70" i="5" s="1"/>
  <c r="FO70" i="5" s="1"/>
  <c r="FO80" i="5" s="1"/>
  <c r="EZ332" i="5"/>
  <c r="EZ337" i="5" s="1"/>
  <c r="EZ1" i="5" s="1"/>
  <c r="Z25" i="53"/>
  <c r="Q9" i="50"/>
  <c r="N9" i="48"/>
  <c r="T9" i="52"/>
  <c r="N9" i="50"/>
  <c r="W14" i="52"/>
  <c r="W25" i="52" s="1"/>
  <c r="W14" i="53"/>
  <c r="W16" i="53" s="1"/>
  <c r="T14" i="53"/>
  <c r="T25" i="53" s="1"/>
  <c r="Q12" i="52"/>
  <c r="Q12" i="53"/>
  <c r="N14" i="53"/>
  <c r="Q13" i="52"/>
  <c r="Q13" i="53"/>
  <c r="N9" i="52"/>
  <c r="T9" i="51"/>
  <c r="Q9" i="52"/>
  <c r="T12" i="51"/>
  <c r="T12" i="52"/>
  <c r="N12" i="51"/>
  <c r="N12" i="52"/>
  <c r="T13" i="51"/>
  <c r="T13" i="52"/>
  <c r="N13" i="51"/>
  <c r="N13" i="52"/>
  <c r="Q13" i="50"/>
  <c r="Q13" i="51"/>
  <c r="Q12" i="50"/>
  <c r="Q12" i="51"/>
  <c r="DT337" i="5"/>
  <c r="DT1" i="5" s="1"/>
  <c r="Q9" i="51"/>
  <c r="N9" i="51"/>
  <c r="N9" i="49"/>
  <c r="N12" i="49"/>
  <c r="N12" i="50"/>
  <c r="N13" i="49"/>
  <c r="N13" i="50"/>
  <c r="DQ337" i="5"/>
  <c r="DQ1" i="5" s="1"/>
  <c r="N13" i="48"/>
  <c r="DN337" i="5"/>
  <c r="DN1" i="5" s="1"/>
  <c r="DK337" i="5"/>
  <c r="DK1" i="5" s="1"/>
  <c r="N12" i="48"/>
  <c r="F23" i="46"/>
  <c r="E23" i="46"/>
  <c r="D23" i="46"/>
  <c r="C23" i="46"/>
  <c r="DI63" i="5"/>
  <c r="DL63" i="5" s="1"/>
  <c r="DO63" i="5" s="1"/>
  <c r="DR63" i="5" s="1"/>
  <c r="DU63" i="5" s="1"/>
  <c r="DX63" i="5" s="1"/>
  <c r="EA63" i="5" s="1"/>
  <c r="ED63" i="5" s="1"/>
  <c r="EG63" i="5" s="1"/>
  <c r="DH329" i="5"/>
  <c r="DH318" i="5"/>
  <c r="DH313" i="5"/>
  <c r="DH306" i="5"/>
  <c r="DH302" i="5"/>
  <c r="DH298" i="5"/>
  <c r="DI295" i="5"/>
  <c r="DH295" i="5"/>
  <c r="DH294" i="5"/>
  <c r="DH293" i="5"/>
  <c r="DH260" i="5"/>
  <c r="DH230" i="5"/>
  <c r="DH225" i="5"/>
  <c r="DH224" i="5"/>
  <c r="DH223" i="5"/>
  <c r="DH199" i="5"/>
  <c r="DH197" i="5"/>
  <c r="DH195" i="5"/>
  <c r="DH188" i="5"/>
  <c r="DH187" i="5"/>
  <c r="DH186" i="5"/>
  <c r="DH163" i="5"/>
  <c r="DH162" i="5"/>
  <c r="DH151" i="5"/>
  <c r="DH150" i="5"/>
  <c r="DH143" i="5"/>
  <c r="DH142" i="5"/>
  <c r="DH139" i="5"/>
  <c r="DH138" i="5"/>
  <c r="DI131" i="5"/>
  <c r="DH131" i="5"/>
  <c r="DH130" i="5"/>
  <c r="DH129" i="5"/>
  <c r="DI121" i="5"/>
  <c r="DH121" i="5"/>
  <c r="DI120" i="5"/>
  <c r="DH120" i="5"/>
  <c r="DH116" i="5"/>
  <c r="DH115" i="5"/>
  <c r="DH103" i="5"/>
  <c r="DH102" i="5"/>
  <c r="DH101" i="5"/>
  <c r="DH87" i="5"/>
  <c r="DH81" i="5"/>
  <c r="DH80" i="5"/>
  <c r="DI69" i="5"/>
  <c r="DH69" i="5"/>
  <c r="DH68" i="5"/>
  <c r="DH54" i="5"/>
  <c r="DH43" i="5"/>
  <c r="DH37" i="5"/>
  <c r="DH31" i="5"/>
  <c r="DH25" i="5"/>
  <c r="DH24" i="5"/>
  <c r="DH23" i="5"/>
  <c r="DH8" i="5"/>
  <c r="CY26" i="4"/>
  <c r="DB26" i="4" s="1"/>
  <c r="DE26" i="4" s="1"/>
  <c r="DH26" i="4" s="1"/>
  <c r="DK26" i="4" s="1"/>
  <c r="DN26" i="4" s="1"/>
  <c r="DQ26" i="4" s="1"/>
  <c r="CX115" i="4"/>
  <c r="CX33" i="4"/>
  <c r="K8" i="53" s="1"/>
  <c r="CX22" i="4"/>
  <c r="K5" i="53" s="1"/>
  <c r="DC298" i="5"/>
  <c r="DA298" i="5"/>
  <c r="DE197" i="5"/>
  <c r="DF135" i="5"/>
  <c r="DI135" i="5" s="1"/>
  <c r="DL135" i="5" s="1"/>
  <c r="DO135" i="5" s="1"/>
  <c r="DR135" i="5" s="1"/>
  <c r="DU135" i="5" s="1"/>
  <c r="DX135" i="5" s="1"/>
  <c r="EA135" i="5" s="1"/>
  <c r="ED135" i="5" s="1"/>
  <c r="EG135" i="5" s="1"/>
  <c r="DF69" i="5"/>
  <c r="DE69" i="5"/>
  <c r="FI167" i="5" l="1"/>
  <c r="FI186" i="5" s="1"/>
  <c r="FF339" i="5"/>
  <c r="FF186" i="5"/>
  <c r="FO164" i="5"/>
  <c r="G9" i="63"/>
  <c r="FL80" i="5"/>
  <c r="FC337" i="5"/>
  <c r="FC1" i="5" s="1"/>
  <c r="O12" i="61"/>
  <c r="O14" i="61" s="1"/>
  <c r="FI80" i="5"/>
  <c r="O12" i="60"/>
  <c r="O14" i="60" s="1"/>
  <c r="O16" i="60" s="1"/>
  <c r="FF80" i="5"/>
  <c r="K9" i="53"/>
  <c r="W16" i="52"/>
  <c r="W25" i="53"/>
  <c r="Q14" i="52"/>
  <c r="Q25" i="52" s="1"/>
  <c r="T16" i="53"/>
  <c r="N25" i="53"/>
  <c r="N16" i="53"/>
  <c r="Q14" i="53"/>
  <c r="K5" i="51"/>
  <c r="K5" i="52"/>
  <c r="K8" i="51"/>
  <c r="K8" i="52"/>
  <c r="T14" i="51"/>
  <c r="T16" i="51" s="1"/>
  <c r="N14" i="51"/>
  <c r="N25" i="51" s="1"/>
  <c r="N14" i="52"/>
  <c r="T14" i="52"/>
  <c r="Q14" i="51"/>
  <c r="Q16" i="51" s="1"/>
  <c r="Q14" i="50"/>
  <c r="Q16" i="50" s="1"/>
  <c r="N14" i="49"/>
  <c r="N16" i="49" s="1"/>
  <c r="K8" i="50"/>
  <c r="K8" i="49"/>
  <c r="K5" i="49"/>
  <c r="K5" i="50"/>
  <c r="N14" i="50"/>
  <c r="N25" i="50" s="1"/>
  <c r="N14" i="48"/>
  <c r="N25" i="48" s="1"/>
  <c r="K5" i="47"/>
  <c r="K5" i="48"/>
  <c r="K8" i="47"/>
  <c r="K8" i="48"/>
  <c r="DH333" i="5"/>
  <c r="DH335" i="5"/>
  <c r="K13" i="53" s="1"/>
  <c r="DH332" i="5"/>
  <c r="CX113" i="4"/>
  <c r="CX1" i="4" s="1"/>
  <c r="FL167" i="5" l="1"/>
  <c r="FI339" i="5"/>
  <c r="FF332" i="5"/>
  <c r="FF337" i="5" s="1"/>
  <c r="FF1" i="5" s="1"/>
  <c r="FI332" i="5"/>
  <c r="FI337" i="5" s="1"/>
  <c r="FI1" i="5" s="1"/>
  <c r="O16" i="61"/>
  <c r="O27" i="61"/>
  <c r="O27" i="60"/>
  <c r="Q16" i="52"/>
  <c r="K12" i="52"/>
  <c r="K12" i="53"/>
  <c r="K14" i="53" s="1"/>
  <c r="Q16" i="53"/>
  <c r="Q25" i="53"/>
  <c r="K9" i="52"/>
  <c r="K9" i="51"/>
  <c r="T25" i="51"/>
  <c r="N16" i="51"/>
  <c r="K13" i="51"/>
  <c r="K13" i="52"/>
  <c r="T16" i="52"/>
  <c r="T25" i="52"/>
  <c r="N16" i="52"/>
  <c r="N25" i="52"/>
  <c r="Q25" i="51"/>
  <c r="Q25" i="50"/>
  <c r="K12" i="50"/>
  <c r="K12" i="51"/>
  <c r="K9" i="50"/>
  <c r="K9" i="49"/>
  <c r="N25" i="49"/>
  <c r="K9" i="47"/>
  <c r="N16" i="50"/>
  <c r="K13" i="49"/>
  <c r="K13" i="50"/>
  <c r="N16" i="48"/>
  <c r="K12" i="48"/>
  <c r="K12" i="49"/>
  <c r="K13" i="47"/>
  <c r="K13" i="48"/>
  <c r="K9" i="48"/>
  <c r="DH337" i="5"/>
  <c r="DH1" i="5" s="1"/>
  <c r="K12" i="47"/>
  <c r="DF322" i="5"/>
  <c r="DI322" i="5" s="1"/>
  <c r="DL322" i="5" s="1"/>
  <c r="DO322" i="5" s="1"/>
  <c r="DR322" i="5" s="1"/>
  <c r="DU322" i="5" s="1"/>
  <c r="DX322" i="5" s="1"/>
  <c r="EA322" i="5" s="1"/>
  <c r="ED322" i="5" s="1"/>
  <c r="EG322" i="5" s="1"/>
  <c r="DE329" i="5"/>
  <c r="DE298" i="5"/>
  <c r="DF296" i="5"/>
  <c r="DF298" i="5" s="1"/>
  <c r="DE260" i="5"/>
  <c r="DF258" i="5"/>
  <c r="DI258" i="5" s="1"/>
  <c r="DL258" i="5" s="1"/>
  <c r="DO258" i="5" s="1"/>
  <c r="DR258" i="5" s="1"/>
  <c r="DU258" i="5" s="1"/>
  <c r="DX258" i="5" s="1"/>
  <c r="EA258" i="5" s="1"/>
  <c r="ED258" i="5" s="1"/>
  <c r="EG258" i="5" s="1"/>
  <c r="DF257" i="5"/>
  <c r="DI257" i="5" s="1"/>
  <c r="DL257" i="5" s="1"/>
  <c r="DO257" i="5" s="1"/>
  <c r="DR257" i="5" s="1"/>
  <c r="DU257" i="5" s="1"/>
  <c r="DX257" i="5" s="1"/>
  <c r="EA257" i="5" s="1"/>
  <c r="ED257" i="5" s="1"/>
  <c r="EG257" i="5" s="1"/>
  <c r="DF256" i="5"/>
  <c r="DI256" i="5" s="1"/>
  <c r="DL256" i="5" s="1"/>
  <c r="DO256" i="5" s="1"/>
  <c r="DR256" i="5" s="1"/>
  <c r="DU256" i="5" s="1"/>
  <c r="DX256" i="5" s="1"/>
  <c r="EA256" i="5" s="1"/>
  <c r="ED256" i="5" s="1"/>
  <c r="EG256" i="5" s="1"/>
  <c r="DF255" i="5"/>
  <c r="DI255" i="5" s="1"/>
  <c r="DL255" i="5" s="1"/>
  <c r="DO255" i="5" s="1"/>
  <c r="DR255" i="5" s="1"/>
  <c r="DU255" i="5" s="1"/>
  <c r="DX255" i="5" s="1"/>
  <c r="EA255" i="5" s="1"/>
  <c r="ED255" i="5" s="1"/>
  <c r="EG255" i="5" s="1"/>
  <c r="DF254" i="5"/>
  <c r="DI254" i="5" s="1"/>
  <c r="DF196" i="5"/>
  <c r="DI196" i="5" s="1"/>
  <c r="DE188" i="5"/>
  <c r="DF183" i="5"/>
  <c r="DI183" i="5" s="1"/>
  <c r="DL183" i="5" s="1"/>
  <c r="DO183" i="5" s="1"/>
  <c r="DR183" i="5" s="1"/>
  <c r="DU183" i="5" s="1"/>
  <c r="DX183" i="5" s="1"/>
  <c r="EA183" i="5" s="1"/>
  <c r="ED183" i="5" s="1"/>
  <c r="EG183" i="5" s="1"/>
  <c r="DE142" i="5"/>
  <c r="DF141" i="5"/>
  <c r="DI141" i="5" s="1"/>
  <c r="DE103" i="5"/>
  <c r="DF99" i="5"/>
  <c r="DI99" i="5" s="1"/>
  <c r="DE37" i="5"/>
  <c r="DC37" i="5"/>
  <c r="DF34" i="5"/>
  <c r="DI34" i="5" s="1"/>
  <c r="DL34" i="5" s="1"/>
  <c r="DO34" i="5" s="1"/>
  <c r="DR34" i="5" s="1"/>
  <c r="DU34" i="5" s="1"/>
  <c r="DX34" i="5" s="1"/>
  <c r="EA34" i="5" s="1"/>
  <c r="ED34" i="5" s="1"/>
  <c r="EG34" i="5" s="1"/>
  <c r="DF33" i="5"/>
  <c r="DI33" i="5" s="1"/>
  <c r="DL33" i="5" s="1"/>
  <c r="DO33" i="5" s="1"/>
  <c r="DR33" i="5" s="1"/>
  <c r="DU33" i="5" s="1"/>
  <c r="DX33" i="5" s="1"/>
  <c r="EA33" i="5" s="1"/>
  <c r="ED33" i="5" s="1"/>
  <c r="EG33" i="5" s="1"/>
  <c r="DF18" i="5"/>
  <c r="DI18" i="5" s="1"/>
  <c r="DL18" i="5" s="1"/>
  <c r="DO18" i="5" s="1"/>
  <c r="DR18" i="5" s="1"/>
  <c r="DU18" i="5" s="1"/>
  <c r="DX18" i="5" s="1"/>
  <c r="EA18" i="5" s="1"/>
  <c r="ED18" i="5" s="1"/>
  <c r="EG18" i="5" s="1"/>
  <c r="DF13" i="5"/>
  <c r="DI13" i="5" s="1"/>
  <c r="DF326" i="5"/>
  <c r="DI326" i="5" s="1"/>
  <c r="DL326" i="5" s="1"/>
  <c r="DO326" i="5" s="1"/>
  <c r="DR326" i="5" s="1"/>
  <c r="DU326" i="5" s="1"/>
  <c r="DX326" i="5" s="1"/>
  <c r="EA326" i="5" s="1"/>
  <c r="ED326" i="5" s="1"/>
  <c r="EG326" i="5" s="1"/>
  <c r="DF325" i="5"/>
  <c r="DI325" i="5" s="1"/>
  <c r="DL325" i="5" s="1"/>
  <c r="DO325" i="5" s="1"/>
  <c r="DR325" i="5" s="1"/>
  <c r="DU325" i="5" s="1"/>
  <c r="DX325" i="5" s="1"/>
  <c r="EA325" i="5" s="1"/>
  <c r="ED325" i="5" s="1"/>
  <c r="EG325" i="5" s="1"/>
  <c r="DF324" i="5"/>
  <c r="DI324" i="5" s="1"/>
  <c r="DL324" i="5" s="1"/>
  <c r="DO324" i="5" s="1"/>
  <c r="DR324" i="5" s="1"/>
  <c r="DU324" i="5" s="1"/>
  <c r="DX324" i="5" s="1"/>
  <c r="EA324" i="5" s="1"/>
  <c r="ED324" i="5" s="1"/>
  <c r="EG324" i="5" s="1"/>
  <c r="DF319" i="5"/>
  <c r="DI319" i="5" s="1"/>
  <c r="DL319" i="5" s="1"/>
  <c r="DO319" i="5" s="1"/>
  <c r="DE318" i="5"/>
  <c r="DF314" i="5"/>
  <c r="DI314" i="5" s="1"/>
  <c r="DE313" i="5"/>
  <c r="DF307" i="5"/>
  <c r="DE306" i="5"/>
  <c r="DF303" i="5"/>
  <c r="DE302" i="5"/>
  <c r="DF299" i="5"/>
  <c r="DF295" i="5"/>
  <c r="DE295" i="5"/>
  <c r="DE294" i="5"/>
  <c r="DE293" i="5"/>
  <c r="DF291" i="5"/>
  <c r="DI291" i="5" s="1"/>
  <c r="DL291" i="5" s="1"/>
  <c r="DO291" i="5" s="1"/>
  <c r="DR291" i="5" s="1"/>
  <c r="DU291" i="5" s="1"/>
  <c r="DX291" i="5" s="1"/>
  <c r="EA291" i="5" s="1"/>
  <c r="ED291" i="5" s="1"/>
  <c r="EG291" i="5" s="1"/>
  <c r="DF290" i="5"/>
  <c r="DI290" i="5" s="1"/>
  <c r="DL290" i="5" s="1"/>
  <c r="DO290" i="5" s="1"/>
  <c r="DR290" i="5" s="1"/>
  <c r="DU290" i="5" s="1"/>
  <c r="DX290" i="5" s="1"/>
  <c r="EA290" i="5" s="1"/>
  <c r="ED290" i="5" s="1"/>
  <c r="EG290" i="5" s="1"/>
  <c r="DF289" i="5"/>
  <c r="DI289" i="5" s="1"/>
  <c r="DL289" i="5" s="1"/>
  <c r="DO289" i="5" s="1"/>
  <c r="DR289" i="5" s="1"/>
  <c r="DU289" i="5" s="1"/>
  <c r="DX289" i="5" s="1"/>
  <c r="EA289" i="5" s="1"/>
  <c r="ED289" i="5" s="1"/>
  <c r="EG289" i="5" s="1"/>
  <c r="DF288" i="5"/>
  <c r="DI288" i="5" s="1"/>
  <c r="DL288" i="5" s="1"/>
  <c r="DO288" i="5" s="1"/>
  <c r="DR288" i="5" s="1"/>
  <c r="DU288" i="5" s="1"/>
  <c r="DX288" i="5" s="1"/>
  <c r="EA288" i="5" s="1"/>
  <c r="ED288" i="5" s="1"/>
  <c r="EG288" i="5" s="1"/>
  <c r="DF287" i="5"/>
  <c r="DI287" i="5" s="1"/>
  <c r="DL287" i="5" s="1"/>
  <c r="DO287" i="5" s="1"/>
  <c r="DR287" i="5" s="1"/>
  <c r="DU287" i="5" s="1"/>
  <c r="DX287" i="5" s="1"/>
  <c r="EA287" i="5" s="1"/>
  <c r="ED287" i="5" s="1"/>
  <c r="EG287" i="5" s="1"/>
  <c r="DF286" i="5"/>
  <c r="DI286" i="5" s="1"/>
  <c r="DL286" i="5" s="1"/>
  <c r="DO286" i="5" s="1"/>
  <c r="DR286" i="5" s="1"/>
  <c r="DU286" i="5" s="1"/>
  <c r="DX286" i="5" s="1"/>
  <c r="EA286" i="5" s="1"/>
  <c r="ED286" i="5" s="1"/>
  <c r="EG286" i="5" s="1"/>
  <c r="DF285" i="5"/>
  <c r="DI285" i="5" s="1"/>
  <c r="DL285" i="5" s="1"/>
  <c r="DO285" i="5" s="1"/>
  <c r="DR285" i="5" s="1"/>
  <c r="DU285" i="5" s="1"/>
  <c r="DX285" i="5" s="1"/>
  <c r="EA285" i="5" s="1"/>
  <c r="ED285" i="5" s="1"/>
  <c r="EG285" i="5" s="1"/>
  <c r="DF284" i="5"/>
  <c r="DI284" i="5" s="1"/>
  <c r="DL284" i="5" s="1"/>
  <c r="DO284" i="5" s="1"/>
  <c r="DR284" i="5" s="1"/>
  <c r="DU284" i="5" s="1"/>
  <c r="DX284" i="5" s="1"/>
  <c r="EA284" i="5" s="1"/>
  <c r="ED284" i="5" s="1"/>
  <c r="EG284" i="5" s="1"/>
  <c r="DF283" i="5"/>
  <c r="DI283" i="5" s="1"/>
  <c r="DL283" i="5" s="1"/>
  <c r="DO283" i="5" s="1"/>
  <c r="DR283" i="5" s="1"/>
  <c r="DU283" i="5" s="1"/>
  <c r="DX283" i="5" s="1"/>
  <c r="EA283" i="5" s="1"/>
  <c r="ED283" i="5" s="1"/>
  <c r="EG283" i="5" s="1"/>
  <c r="DF282" i="5"/>
  <c r="DF281" i="5"/>
  <c r="DI281" i="5" s="1"/>
  <c r="DL281" i="5" s="1"/>
  <c r="DO281" i="5" s="1"/>
  <c r="DR281" i="5" s="1"/>
  <c r="DU281" i="5" s="1"/>
  <c r="DX281" i="5" s="1"/>
  <c r="EA281" i="5" s="1"/>
  <c r="ED281" i="5" s="1"/>
  <c r="EG281" i="5" s="1"/>
  <c r="DF280" i="5"/>
  <c r="DI280" i="5" s="1"/>
  <c r="DL280" i="5" s="1"/>
  <c r="DO280" i="5" s="1"/>
  <c r="DR280" i="5" s="1"/>
  <c r="DU280" i="5" s="1"/>
  <c r="DX280" i="5" s="1"/>
  <c r="EA280" i="5" s="1"/>
  <c r="ED280" i="5" s="1"/>
  <c r="EG280" i="5" s="1"/>
  <c r="DF279" i="5"/>
  <c r="DI279" i="5" s="1"/>
  <c r="DL279" i="5" s="1"/>
  <c r="DO279" i="5" s="1"/>
  <c r="DR279" i="5" s="1"/>
  <c r="DU279" i="5" s="1"/>
  <c r="DX279" i="5" s="1"/>
  <c r="EA279" i="5" s="1"/>
  <c r="ED279" i="5" s="1"/>
  <c r="EG279" i="5" s="1"/>
  <c r="DF278" i="5"/>
  <c r="DI278" i="5" s="1"/>
  <c r="DL278" i="5" s="1"/>
  <c r="DO278" i="5" s="1"/>
  <c r="DR278" i="5" s="1"/>
  <c r="DU278" i="5" s="1"/>
  <c r="DX278" i="5" s="1"/>
  <c r="EA278" i="5" s="1"/>
  <c r="ED278" i="5" s="1"/>
  <c r="EG278" i="5" s="1"/>
  <c r="DF277" i="5"/>
  <c r="DI277" i="5" s="1"/>
  <c r="DL277" i="5" s="1"/>
  <c r="DO277" i="5" s="1"/>
  <c r="DR277" i="5" s="1"/>
  <c r="DU277" i="5" s="1"/>
  <c r="DX277" i="5" s="1"/>
  <c r="EA277" i="5" s="1"/>
  <c r="ED277" i="5" s="1"/>
  <c r="EG277" i="5" s="1"/>
  <c r="DF276" i="5"/>
  <c r="DF275" i="5"/>
  <c r="DI275" i="5" s="1"/>
  <c r="DL275" i="5" s="1"/>
  <c r="DO275" i="5" s="1"/>
  <c r="DR275" i="5" s="1"/>
  <c r="DU275" i="5" s="1"/>
  <c r="DX275" i="5" s="1"/>
  <c r="EA275" i="5" s="1"/>
  <c r="ED275" i="5" s="1"/>
  <c r="EG275" i="5" s="1"/>
  <c r="DF274" i="5"/>
  <c r="DI274" i="5" s="1"/>
  <c r="DL274" i="5" s="1"/>
  <c r="DO274" i="5" s="1"/>
  <c r="DR274" i="5" s="1"/>
  <c r="DU274" i="5" s="1"/>
  <c r="DX274" i="5" s="1"/>
  <c r="EA274" i="5" s="1"/>
  <c r="ED274" i="5" s="1"/>
  <c r="EG274" i="5" s="1"/>
  <c r="DF273" i="5"/>
  <c r="DI273" i="5" s="1"/>
  <c r="DL273" i="5" s="1"/>
  <c r="DO273" i="5" s="1"/>
  <c r="DR273" i="5" s="1"/>
  <c r="DU273" i="5" s="1"/>
  <c r="DX273" i="5" s="1"/>
  <c r="EA273" i="5" s="1"/>
  <c r="ED273" i="5" s="1"/>
  <c r="EG273" i="5" s="1"/>
  <c r="DF271" i="5"/>
  <c r="DI271" i="5" s="1"/>
  <c r="DL271" i="5" s="1"/>
  <c r="DO271" i="5" s="1"/>
  <c r="DR271" i="5" s="1"/>
  <c r="DU271" i="5" s="1"/>
  <c r="DX271" i="5" s="1"/>
  <c r="EA271" i="5" s="1"/>
  <c r="ED271" i="5" s="1"/>
  <c r="EG271" i="5" s="1"/>
  <c r="DF270" i="5"/>
  <c r="DI270" i="5" s="1"/>
  <c r="DL270" i="5" s="1"/>
  <c r="DO270" i="5" s="1"/>
  <c r="DR270" i="5" s="1"/>
  <c r="DU270" i="5" s="1"/>
  <c r="DX270" i="5" s="1"/>
  <c r="EA270" i="5" s="1"/>
  <c r="ED270" i="5" s="1"/>
  <c r="EG270" i="5" s="1"/>
  <c r="DF269" i="5"/>
  <c r="DI269" i="5" s="1"/>
  <c r="DL269" i="5" s="1"/>
  <c r="DO269" i="5" s="1"/>
  <c r="DR269" i="5" s="1"/>
  <c r="DU269" i="5" s="1"/>
  <c r="DX269" i="5" s="1"/>
  <c r="EA269" i="5" s="1"/>
  <c r="ED269" i="5" s="1"/>
  <c r="EG269" i="5" s="1"/>
  <c r="DF268" i="5"/>
  <c r="DI268" i="5" s="1"/>
  <c r="DL268" i="5" s="1"/>
  <c r="DO268" i="5" s="1"/>
  <c r="DR268" i="5" s="1"/>
  <c r="DU268" i="5" s="1"/>
  <c r="DX268" i="5" s="1"/>
  <c r="EA268" i="5" s="1"/>
  <c r="ED268" i="5" s="1"/>
  <c r="EG268" i="5" s="1"/>
  <c r="DF266" i="5"/>
  <c r="DI266" i="5" s="1"/>
  <c r="DL266" i="5" s="1"/>
  <c r="DO266" i="5" s="1"/>
  <c r="DR266" i="5" s="1"/>
  <c r="DU266" i="5" s="1"/>
  <c r="DX266" i="5" s="1"/>
  <c r="EA266" i="5" s="1"/>
  <c r="ED266" i="5" s="1"/>
  <c r="EG266" i="5" s="1"/>
  <c r="DF265" i="5"/>
  <c r="DI265" i="5" s="1"/>
  <c r="DL265" i="5" s="1"/>
  <c r="DO265" i="5" s="1"/>
  <c r="DR265" i="5" s="1"/>
  <c r="DU265" i="5" s="1"/>
  <c r="DX265" i="5" s="1"/>
  <c r="EA265" i="5" s="1"/>
  <c r="ED265" i="5" s="1"/>
  <c r="EG265" i="5" s="1"/>
  <c r="DF262" i="5"/>
  <c r="DI262" i="5" s="1"/>
  <c r="DL262" i="5" s="1"/>
  <c r="DO262" i="5" s="1"/>
  <c r="DR262" i="5" s="1"/>
  <c r="DU262" i="5" s="1"/>
  <c r="DX262" i="5" s="1"/>
  <c r="EA262" i="5" s="1"/>
  <c r="ED262" i="5" s="1"/>
  <c r="EG262" i="5" s="1"/>
  <c r="DF261" i="5"/>
  <c r="DI261" i="5" s="1"/>
  <c r="DL261" i="5" s="1"/>
  <c r="DO261" i="5" s="1"/>
  <c r="DR261" i="5" s="1"/>
  <c r="DU261" i="5" s="1"/>
  <c r="DX261" i="5" s="1"/>
  <c r="EA261" i="5" s="1"/>
  <c r="ED261" i="5" s="1"/>
  <c r="EG261" i="5" s="1"/>
  <c r="DF237" i="5"/>
  <c r="DI237" i="5" s="1"/>
  <c r="DL237" i="5" s="1"/>
  <c r="DO237" i="5" s="1"/>
  <c r="DR237" i="5" s="1"/>
  <c r="DU237" i="5" s="1"/>
  <c r="DX237" i="5" s="1"/>
  <c r="EA237" i="5" s="1"/>
  <c r="ED237" i="5" s="1"/>
  <c r="EG237" i="5" s="1"/>
  <c r="DF236" i="5"/>
  <c r="DI236" i="5" s="1"/>
  <c r="DL236" i="5" s="1"/>
  <c r="DO236" i="5" s="1"/>
  <c r="DR236" i="5" s="1"/>
  <c r="DU236" i="5" s="1"/>
  <c r="DX236" i="5" s="1"/>
  <c r="EA236" i="5" s="1"/>
  <c r="ED236" i="5" s="1"/>
  <c r="EG236" i="5" s="1"/>
  <c r="DF235" i="5"/>
  <c r="DI235" i="5" s="1"/>
  <c r="DL235" i="5" s="1"/>
  <c r="DO235" i="5" s="1"/>
  <c r="DR235" i="5" s="1"/>
  <c r="DU235" i="5" s="1"/>
  <c r="DX235" i="5" s="1"/>
  <c r="EA235" i="5" s="1"/>
  <c r="ED235" i="5" s="1"/>
  <c r="EG235" i="5" s="1"/>
  <c r="DF234" i="5"/>
  <c r="DI234" i="5" s="1"/>
  <c r="DL234" i="5" s="1"/>
  <c r="DO234" i="5" s="1"/>
  <c r="DR234" i="5" s="1"/>
  <c r="DU234" i="5" s="1"/>
  <c r="DX234" i="5" s="1"/>
  <c r="EA234" i="5" s="1"/>
  <c r="ED234" i="5" s="1"/>
  <c r="EG234" i="5" s="1"/>
  <c r="DF233" i="5"/>
  <c r="DI233" i="5" s="1"/>
  <c r="DL233" i="5" s="1"/>
  <c r="DO233" i="5" s="1"/>
  <c r="DR233" i="5" s="1"/>
  <c r="DU233" i="5" s="1"/>
  <c r="DX233" i="5" s="1"/>
  <c r="EA233" i="5" s="1"/>
  <c r="ED233" i="5" s="1"/>
  <c r="EG233" i="5" s="1"/>
  <c r="DF232" i="5"/>
  <c r="DI232" i="5" s="1"/>
  <c r="DL232" i="5" s="1"/>
  <c r="DO232" i="5" s="1"/>
  <c r="DR232" i="5" s="1"/>
  <c r="DU232" i="5" s="1"/>
  <c r="DX232" i="5" s="1"/>
  <c r="EA232" i="5" s="1"/>
  <c r="ED232" i="5" s="1"/>
  <c r="EG232" i="5" s="1"/>
  <c r="DF231" i="5"/>
  <c r="DI231" i="5" s="1"/>
  <c r="DL231" i="5" s="1"/>
  <c r="DO231" i="5" s="1"/>
  <c r="DR231" i="5" s="1"/>
  <c r="DU231" i="5" s="1"/>
  <c r="DX231" i="5" s="1"/>
  <c r="EA231" i="5" s="1"/>
  <c r="ED231" i="5" s="1"/>
  <c r="EG231" i="5" s="1"/>
  <c r="DE230" i="5"/>
  <c r="DF228" i="5"/>
  <c r="DI228" i="5" s="1"/>
  <c r="DL228" i="5" s="1"/>
  <c r="DO228" i="5" s="1"/>
  <c r="DR228" i="5" s="1"/>
  <c r="DU228" i="5" s="1"/>
  <c r="DX228" i="5" s="1"/>
  <c r="EA228" i="5" s="1"/>
  <c r="ED228" i="5" s="1"/>
  <c r="EG228" i="5" s="1"/>
  <c r="DF227" i="5"/>
  <c r="DI227" i="5" s="1"/>
  <c r="DL227" i="5" s="1"/>
  <c r="DO227" i="5" s="1"/>
  <c r="DR227" i="5" s="1"/>
  <c r="DU227" i="5" s="1"/>
  <c r="DX227" i="5" s="1"/>
  <c r="EA227" i="5" s="1"/>
  <c r="ED227" i="5" s="1"/>
  <c r="EG227" i="5" s="1"/>
  <c r="DF226" i="5"/>
  <c r="DE225" i="5"/>
  <c r="DE224" i="5"/>
  <c r="DE223" i="5"/>
  <c r="DF220" i="5"/>
  <c r="DF218" i="5"/>
  <c r="DI218" i="5" s="1"/>
  <c r="DL218" i="5" s="1"/>
  <c r="DO218" i="5" s="1"/>
  <c r="DR218" i="5" s="1"/>
  <c r="DU218" i="5" s="1"/>
  <c r="DX218" i="5" s="1"/>
  <c r="EA218" i="5" s="1"/>
  <c r="ED218" i="5" s="1"/>
  <c r="EG218" i="5" s="1"/>
  <c r="DF216" i="5"/>
  <c r="DI216" i="5" s="1"/>
  <c r="DL216" i="5" s="1"/>
  <c r="DO216" i="5" s="1"/>
  <c r="DR216" i="5" s="1"/>
  <c r="DU216" i="5" s="1"/>
  <c r="DX216" i="5" s="1"/>
  <c r="EA216" i="5" s="1"/>
  <c r="ED216" i="5" s="1"/>
  <c r="EG216" i="5" s="1"/>
  <c r="DF215" i="5"/>
  <c r="DI215" i="5" s="1"/>
  <c r="DL215" i="5" s="1"/>
  <c r="DO215" i="5" s="1"/>
  <c r="DR215" i="5" s="1"/>
  <c r="DU215" i="5" s="1"/>
  <c r="DX215" i="5" s="1"/>
  <c r="EA215" i="5" s="1"/>
  <c r="ED215" i="5" s="1"/>
  <c r="EG215" i="5" s="1"/>
  <c r="DF213" i="5"/>
  <c r="DI213" i="5" s="1"/>
  <c r="DL213" i="5" s="1"/>
  <c r="DO213" i="5" s="1"/>
  <c r="DR213" i="5" s="1"/>
  <c r="DU213" i="5" s="1"/>
  <c r="DX213" i="5" s="1"/>
  <c r="EA213" i="5" s="1"/>
  <c r="ED213" i="5" s="1"/>
  <c r="EG213" i="5" s="1"/>
  <c r="DF212" i="5"/>
  <c r="DI212" i="5" s="1"/>
  <c r="DL212" i="5" s="1"/>
  <c r="DO212" i="5" s="1"/>
  <c r="DR212" i="5" s="1"/>
  <c r="DU212" i="5" s="1"/>
  <c r="DX212" i="5" s="1"/>
  <c r="EA212" i="5" s="1"/>
  <c r="ED212" i="5" s="1"/>
  <c r="EG212" i="5" s="1"/>
  <c r="DF211" i="5"/>
  <c r="DF210" i="5"/>
  <c r="DI210" i="5" s="1"/>
  <c r="DL210" i="5" s="1"/>
  <c r="DO210" i="5" s="1"/>
  <c r="DR210" i="5" s="1"/>
  <c r="DU210" i="5" s="1"/>
  <c r="DX210" i="5" s="1"/>
  <c r="EA210" i="5" s="1"/>
  <c r="ED210" i="5" s="1"/>
  <c r="EG210" i="5" s="1"/>
  <c r="DF209" i="5"/>
  <c r="DI209" i="5" s="1"/>
  <c r="DL209" i="5" s="1"/>
  <c r="DO209" i="5" s="1"/>
  <c r="DR209" i="5" s="1"/>
  <c r="DU209" i="5" s="1"/>
  <c r="DX209" i="5" s="1"/>
  <c r="EA209" i="5" s="1"/>
  <c r="ED209" i="5" s="1"/>
  <c r="EG209" i="5" s="1"/>
  <c r="DF208" i="5"/>
  <c r="DI208" i="5" s="1"/>
  <c r="DL208" i="5" s="1"/>
  <c r="DO208" i="5" s="1"/>
  <c r="DR208" i="5" s="1"/>
  <c r="DU208" i="5" s="1"/>
  <c r="DX208" i="5" s="1"/>
  <c r="EA208" i="5" s="1"/>
  <c r="ED208" i="5" s="1"/>
  <c r="EG208" i="5" s="1"/>
  <c r="DF207" i="5"/>
  <c r="DI207" i="5" s="1"/>
  <c r="DL207" i="5" s="1"/>
  <c r="DO207" i="5" s="1"/>
  <c r="DR207" i="5" s="1"/>
  <c r="DU207" i="5" s="1"/>
  <c r="DX207" i="5" s="1"/>
  <c r="EA207" i="5" s="1"/>
  <c r="ED207" i="5" s="1"/>
  <c r="EG207" i="5" s="1"/>
  <c r="DF206" i="5"/>
  <c r="DI206" i="5" s="1"/>
  <c r="DL206" i="5" s="1"/>
  <c r="DO206" i="5" s="1"/>
  <c r="DR206" i="5" s="1"/>
  <c r="DU206" i="5" s="1"/>
  <c r="DX206" i="5" s="1"/>
  <c r="EA206" i="5" s="1"/>
  <c r="ED206" i="5" s="1"/>
  <c r="EG206" i="5" s="1"/>
  <c r="DF205" i="5"/>
  <c r="DI205" i="5" s="1"/>
  <c r="DL205" i="5" s="1"/>
  <c r="DO205" i="5" s="1"/>
  <c r="DR205" i="5" s="1"/>
  <c r="DU205" i="5" s="1"/>
  <c r="DX205" i="5" s="1"/>
  <c r="EA205" i="5" s="1"/>
  <c r="ED205" i="5" s="1"/>
  <c r="EG205" i="5" s="1"/>
  <c r="DF204" i="5"/>
  <c r="DI204" i="5" s="1"/>
  <c r="DL204" i="5" s="1"/>
  <c r="DO204" i="5" s="1"/>
  <c r="DR204" i="5" s="1"/>
  <c r="DU204" i="5" s="1"/>
  <c r="DX204" i="5" s="1"/>
  <c r="EA204" i="5" s="1"/>
  <c r="ED204" i="5" s="1"/>
  <c r="EG204" i="5" s="1"/>
  <c r="DF203" i="5"/>
  <c r="DI203" i="5" s="1"/>
  <c r="DL203" i="5" s="1"/>
  <c r="DO203" i="5" s="1"/>
  <c r="DR203" i="5" s="1"/>
  <c r="DU203" i="5" s="1"/>
  <c r="DX203" i="5" s="1"/>
  <c r="EA203" i="5" s="1"/>
  <c r="ED203" i="5" s="1"/>
  <c r="EG203" i="5" s="1"/>
  <c r="DF201" i="5"/>
  <c r="DI201" i="5" s="1"/>
  <c r="DL201" i="5" s="1"/>
  <c r="DO201" i="5" s="1"/>
  <c r="DR201" i="5" s="1"/>
  <c r="DU201" i="5" s="1"/>
  <c r="DX201" i="5" s="1"/>
  <c r="EA201" i="5" s="1"/>
  <c r="ED201" i="5" s="1"/>
  <c r="EG201" i="5" s="1"/>
  <c r="DF200" i="5"/>
  <c r="DI200" i="5" s="1"/>
  <c r="DL200" i="5" s="1"/>
  <c r="DO200" i="5" s="1"/>
  <c r="DR200" i="5" s="1"/>
  <c r="DU200" i="5" s="1"/>
  <c r="DX200" i="5" s="1"/>
  <c r="EA200" i="5" s="1"/>
  <c r="ED200" i="5" s="1"/>
  <c r="EG200" i="5" s="1"/>
  <c r="DE199" i="5"/>
  <c r="DF198" i="5"/>
  <c r="DE195" i="5"/>
  <c r="DF191" i="5"/>
  <c r="DI191" i="5" s="1"/>
  <c r="DL191" i="5" s="1"/>
  <c r="DO191" i="5" s="1"/>
  <c r="DR191" i="5" s="1"/>
  <c r="DU191" i="5" s="1"/>
  <c r="DX191" i="5" s="1"/>
  <c r="EA191" i="5" s="1"/>
  <c r="ED191" i="5" s="1"/>
  <c r="EG191" i="5" s="1"/>
  <c r="DF190" i="5"/>
  <c r="DI190" i="5" s="1"/>
  <c r="DL190" i="5" s="1"/>
  <c r="DO190" i="5" s="1"/>
  <c r="DR190" i="5" s="1"/>
  <c r="DU190" i="5" s="1"/>
  <c r="DX190" i="5" s="1"/>
  <c r="EA190" i="5" s="1"/>
  <c r="ED190" i="5" s="1"/>
  <c r="EG190" i="5" s="1"/>
  <c r="DF189" i="5"/>
  <c r="DE187" i="5"/>
  <c r="DE186" i="5"/>
  <c r="DF181" i="5"/>
  <c r="DI181" i="5" s="1"/>
  <c r="DL181" i="5" s="1"/>
  <c r="DF180" i="5"/>
  <c r="DI180" i="5" s="1"/>
  <c r="DL180" i="5" s="1"/>
  <c r="DO180" i="5" s="1"/>
  <c r="DR180" i="5" s="1"/>
  <c r="DU180" i="5" s="1"/>
  <c r="DX180" i="5" s="1"/>
  <c r="EA180" i="5" s="1"/>
  <c r="ED180" i="5" s="1"/>
  <c r="EG180" i="5" s="1"/>
  <c r="DF178" i="5"/>
  <c r="DI178" i="5" s="1"/>
  <c r="DL178" i="5" s="1"/>
  <c r="DO178" i="5" s="1"/>
  <c r="DR178" i="5" s="1"/>
  <c r="DU178" i="5" s="1"/>
  <c r="DX178" i="5" s="1"/>
  <c r="EA178" i="5" s="1"/>
  <c r="ED178" i="5" s="1"/>
  <c r="EG178" i="5" s="1"/>
  <c r="DF177" i="5"/>
  <c r="DF176" i="5"/>
  <c r="DI176" i="5" s="1"/>
  <c r="DL176" i="5" s="1"/>
  <c r="DO176" i="5" s="1"/>
  <c r="DR176" i="5" s="1"/>
  <c r="DU176" i="5" s="1"/>
  <c r="DX176" i="5" s="1"/>
  <c r="EA176" i="5" s="1"/>
  <c r="ED176" i="5" s="1"/>
  <c r="EG176" i="5" s="1"/>
  <c r="DF175" i="5"/>
  <c r="DI175" i="5" s="1"/>
  <c r="DL175" i="5" s="1"/>
  <c r="DO175" i="5" s="1"/>
  <c r="DR175" i="5" s="1"/>
  <c r="DU175" i="5" s="1"/>
  <c r="DX175" i="5" s="1"/>
  <c r="EA175" i="5" s="1"/>
  <c r="ED175" i="5" s="1"/>
  <c r="EG175" i="5" s="1"/>
  <c r="DF174" i="5"/>
  <c r="DI174" i="5" s="1"/>
  <c r="DL174" i="5" s="1"/>
  <c r="DO174" i="5" s="1"/>
  <c r="DR174" i="5" s="1"/>
  <c r="DU174" i="5" s="1"/>
  <c r="DX174" i="5" s="1"/>
  <c r="EA174" i="5" s="1"/>
  <c r="ED174" i="5" s="1"/>
  <c r="EG174" i="5" s="1"/>
  <c r="DF172" i="5"/>
  <c r="DI172" i="5" s="1"/>
  <c r="DL172" i="5" s="1"/>
  <c r="DO172" i="5" s="1"/>
  <c r="DR172" i="5" s="1"/>
  <c r="DU172" i="5" s="1"/>
  <c r="DX172" i="5" s="1"/>
  <c r="EA172" i="5" s="1"/>
  <c r="ED172" i="5" s="1"/>
  <c r="EG172" i="5" s="1"/>
  <c r="DF171" i="5"/>
  <c r="DI171" i="5" s="1"/>
  <c r="DL171" i="5" s="1"/>
  <c r="DO171" i="5" s="1"/>
  <c r="DR171" i="5" s="1"/>
  <c r="DU171" i="5" s="1"/>
  <c r="DX171" i="5" s="1"/>
  <c r="EA171" i="5" s="1"/>
  <c r="ED171" i="5" s="1"/>
  <c r="EG171" i="5" s="1"/>
  <c r="DF170" i="5"/>
  <c r="DI170" i="5" s="1"/>
  <c r="DL170" i="5" s="1"/>
  <c r="DO170" i="5" s="1"/>
  <c r="DR170" i="5" s="1"/>
  <c r="DU170" i="5" s="1"/>
  <c r="DX170" i="5" s="1"/>
  <c r="EA170" i="5" s="1"/>
  <c r="ED170" i="5" s="1"/>
  <c r="EG170" i="5" s="1"/>
  <c r="DF169" i="5"/>
  <c r="DI169" i="5" s="1"/>
  <c r="DL169" i="5" s="1"/>
  <c r="DO169" i="5" s="1"/>
  <c r="DR169" i="5" s="1"/>
  <c r="DU169" i="5" s="1"/>
  <c r="DX169" i="5" s="1"/>
  <c r="EA169" i="5" s="1"/>
  <c r="ED169" i="5" s="1"/>
  <c r="EG169" i="5" s="1"/>
  <c r="DF168" i="5"/>
  <c r="DI168" i="5" s="1"/>
  <c r="DL168" i="5" s="1"/>
  <c r="DO168" i="5" s="1"/>
  <c r="DR168" i="5" s="1"/>
  <c r="DU168" i="5" s="1"/>
  <c r="DX168" i="5" s="1"/>
  <c r="EA168" i="5" s="1"/>
  <c r="ED168" i="5" s="1"/>
  <c r="EG168" i="5" s="1"/>
  <c r="DF165" i="5"/>
  <c r="DI165" i="5" s="1"/>
  <c r="DL165" i="5" s="1"/>
  <c r="DO165" i="5" s="1"/>
  <c r="DR165" i="5" s="1"/>
  <c r="DU165" i="5" s="1"/>
  <c r="DX165" i="5" s="1"/>
  <c r="EA165" i="5" s="1"/>
  <c r="ED165" i="5" s="1"/>
  <c r="EG165" i="5" s="1"/>
  <c r="DF164" i="5"/>
  <c r="DE163" i="5"/>
  <c r="DE162" i="5"/>
  <c r="DF159" i="5"/>
  <c r="DF158" i="5"/>
  <c r="DI158" i="5" s="1"/>
  <c r="DL158" i="5" s="1"/>
  <c r="DO158" i="5" s="1"/>
  <c r="DR158" i="5" s="1"/>
  <c r="DU158" i="5" s="1"/>
  <c r="DX158" i="5" s="1"/>
  <c r="EA158" i="5" s="1"/>
  <c r="ED158" i="5" s="1"/>
  <c r="EG158" i="5" s="1"/>
  <c r="DF152" i="5"/>
  <c r="DI152" i="5" s="1"/>
  <c r="DL152" i="5" s="1"/>
  <c r="DO152" i="5" s="1"/>
  <c r="DR152" i="5" s="1"/>
  <c r="DU152" i="5" s="1"/>
  <c r="DX152" i="5" s="1"/>
  <c r="EA152" i="5" s="1"/>
  <c r="ED152" i="5" s="1"/>
  <c r="EG152" i="5" s="1"/>
  <c r="DE151" i="5"/>
  <c r="DE150" i="5"/>
  <c r="DF147" i="5"/>
  <c r="DI147" i="5" s="1"/>
  <c r="DL147" i="5" s="1"/>
  <c r="DO147" i="5" s="1"/>
  <c r="DR147" i="5" s="1"/>
  <c r="DU147" i="5" s="1"/>
  <c r="DX147" i="5" s="1"/>
  <c r="EA147" i="5" s="1"/>
  <c r="ED147" i="5" s="1"/>
  <c r="EG147" i="5" s="1"/>
  <c r="DF145" i="5"/>
  <c r="DF144" i="5"/>
  <c r="DE143" i="5"/>
  <c r="DF140" i="5"/>
  <c r="DE139" i="5"/>
  <c r="DE138" i="5"/>
  <c r="DF136" i="5"/>
  <c r="DF134" i="5"/>
  <c r="DI134" i="5" s="1"/>
  <c r="DL134" i="5" s="1"/>
  <c r="DO134" i="5" s="1"/>
  <c r="DR134" i="5" s="1"/>
  <c r="DU134" i="5" s="1"/>
  <c r="DX134" i="5" s="1"/>
  <c r="EA134" i="5" s="1"/>
  <c r="ED134" i="5" s="1"/>
  <c r="EG134" i="5" s="1"/>
  <c r="DF132" i="5"/>
  <c r="DF131" i="5"/>
  <c r="DE131" i="5"/>
  <c r="DE130" i="5"/>
  <c r="DE129" i="5"/>
  <c r="DF126" i="5"/>
  <c r="DF123" i="5"/>
  <c r="DF122" i="5"/>
  <c r="DI122" i="5" s="1"/>
  <c r="DL122" i="5" s="1"/>
  <c r="DO122" i="5" s="1"/>
  <c r="DR122" i="5" s="1"/>
  <c r="DU122" i="5" s="1"/>
  <c r="DX122" i="5" s="1"/>
  <c r="EA122" i="5" s="1"/>
  <c r="ED122" i="5" s="1"/>
  <c r="EG122" i="5" s="1"/>
  <c r="DF121" i="5"/>
  <c r="DE121" i="5"/>
  <c r="DF120" i="5"/>
  <c r="DE120" i="5"/>
  <c r="DE116" i="5"/>
  <c r="DE115" i="5"/>
  <c r="DF112" i="5"/>
  <c r="DI112" i="5" s="1"/>
  <c r="DL112" i="5" s="1"/>
  <c r="DO112" i="5" s="1"/>
  <c r="DR112" i="5" s="1"/>
  <c r="DU112" i="5" s="1"/>
  <c r="DX112" i="5" s="1"/>
  <c r="EA112" i="5" s="1"/>
  <c r="ED112" i="5" s="1"/>
  <c r="EG112" i="5" s="1"/>
  <c r="DF111" i="5"/>
  <c r="DI111" i="5" s="1"/>
  <c r="DL111" i="5" s="1"/>
  <c r="DO111" i="5" s="1"/>
  <c r="DR111" i="5" s="1"/>
  <c r="DU111" i="5" s="1"/>
  <c r="DX111" i="5" s="1"/>
  <c r="EA111" i="5" s="1"/>
  <c r="ED111" i="5" s="1"/>
  <c r="EG111" i="5" s="1"/>
  <c r="DF110" i="5"/>
  <c r="DI110" i="5" s="1"/>
  <c r="DL110" i="5" s="1"/>
  <c r="DO110" i="5" s="1"/>
  <c r="DR110" i="5" s="1"/>
  <c r="DU110" i="5" s="1"/>
  <c r="DX110" i="5" s="1"/>
  <c r="EA110" i="5" s="1"/>
  <c r="ED110" i="5" s="1"/>
  <c r="EG110" i="5" s="1"/>
  <c r="DF109" i="5"/>
  <c r="DF108" i="5"/>
  <c r="DI108" i="5" s="1"/>
  <c r="DL108" i="5" s="1"/>
  <c r="DO108" i="5" s="1"/>
  <c r="DR108" i="5" s="1"/>
  <c r="DU108" i="5" s="1"/>
  <c r="DX108" i="5" s="1"/>
  <c r="EA108" i="5" s="1"/>
  <c r="ED108" i="5" s="1"/>
  <c r="EG108" i="5" s="1"/>
  <c r="DF107" i="5"/>
  <c r="DI107" i="5" s="1"/>
  <c r="DL107" i="5" s="1"/>
  <c r="DO107" i="5" s="1"/>
  <c r="DR107" i="5" s="1"/>
  <c r="DU107" i="5" s="1"/>
  <c r="DX107" i="5" s="1"/>
  <c r="EA107" i="5" s="1"/>
  <c r="ED107" i="5" s="1"/>
  <c r="EG107" i="5" s="1"/>
  <c r="DF106" i="5"/>
  <c r="DI106" i="5" s="1"/>
  <c r="DL106" i="5" s="1"/>
  <c r="DO106" i="5" s="1"/>
  <c r="DR106" i="5" s="1"/>
  <c r="DU106" i="5" s="1"/>
  <c r="DX106" i="5" s="1"/>
  <c r="EA106" i="5" s="1"/>
  <c r="ED106" i="5" s="1"/>
  <c r="EG106" i="5" s="1"/>
  <c r="DF105" i="5"/>
  <c r="DI105" i="5" s="1"/>
  <c r="DL105" i="5" s="1"/>
  <c r="DO105" i="5" s="1"/>
  <c r="DR105" i="5" s="1"/>
  <c r="DU105" i="5" s="1"/>
  <c r="DX105" i="5" s="1"/>
  <c r="EA105" i="5" s="1"/>
  <c r="ED105" i="5" s="1"/>
  <c r="EG105" i="5" s="1"/>
  <c r="DF104" i="5"/>
  <c r="DI104" i="5" s="1"/>
  <c r="DL104" i="5" s="1"/>
  <c r="DO104" i="5" s="1"/>
  <c r="DR104" i="5" s="1"/>
  <c r="DU104" i="5" s="1"/>
  <c r="DX104" i="5" s="1"/>
  <c r="EA104" i="5" s="1"/>
  <c r="ED104" i="5" s="1"/>
  <c r="EG104" i="5" s="1"/>
  <c r="DE102" i="5"/>
  <c r="DE101" i="5"/>
  <c r="DF97" i="5"/>
  <c r="DF95" i="5"/>
  <c r="DI95" i="5" s="1"/>
  <c r="DL95" i="5" s="1"/>
  <c r="DO95" i="5" s="1"/>
  <c r="DR95" i="5" s="1"/>
  <c r="DU95" i="5" s="1"/>
  <c r="DX95" i="5" s="1"/>
  <c r="EA95" i="5" s="1"/>
  <c r="ED95" i="5" s="1"/>
  <c r="EG95" i="5" s="1"/>
  <c r="DF94" i="5"/>
  <c r="DI94" i="5" s="1"/>
  <c r="DL94" i="5" s="1"/>
  <c r="DO94" i="5" s="1"/>
  <c r="DR94" i="5" s="1"/>
  <c r="DU94" i="5" s="1"/>
  <c r="DX94" i="5" s="1"/>
  <c r="EA94" i="5" s="1"/>
  <c r="ED94" i="5" s="1"/>
  <c r="EG94" i="5" s="1"/>
  <c r="DF93" i="5"/>
  <c r="DI93" i="5" s="1"/>
  <c r="DL93" i="5" s="1"/>
  <c r="DO93" i="5" s="1"/>
  <c r="DR93" i="5" s="1"/>
  <c r="DU93" i="5" s="1"/>
  <c r="DX93" i="5" s="1"/>
  <c r="EA93" i="5" s="1"/>
  <c r="ED93" i="5" s="1"/>
  <c r="EG93" i="5" s="1"/>
  <c r="DF92" i="5"/>
  <c r="DI92" i="5" s="1"/>
  <c r="DL92" i="5" s="1"/>
  <c r="DO92" i="5" s="1"/>
  <c r="DR92" i="5" s="1"/>
  <c r="DU92" i="5" s="1"/>
  <c r="DX92" i="5" s="1"/>
  <c r="EA92" i="5" s="1"/>
  <c r="ED92" i="5" s="1"/>
  <c r="EG92" i="5" s="1"/>
  <c r="DE87" i="5"/>
  <c r="DF86" i="5"/>
  <c r="DI86" i="5" s="1"/>
  <c r="DE81" i="5"/>
  <c r="DE80" i="5"/>
  <c r="DF78" i="5"/>
  <c r="DF77" i="5"/>
  <c r="DI77" i="5" s="1"/>
  <c r="DL77" i="5" s="1"/>
  <c r="DO77" i="5" s="1"/>
  <c r="DR77" i="5" s="1"/>
  <c r="DU77" i="5" s="1"/>
  <c r="DX77" i="5" s="1"/>
  <c r="EA77" i="5" s="1"/>
  <c r="ED77" i="5" s="1"/>
  <c r="EG77" i="5" s="1"/>
  <c r="DF76" i="5"/>
  <c r="DI76" i="5" s="1"/>
  <c r="DL76" i="5" s="1"/>
  <c r="DO76" i="5" s="1"/>
  <c r="DR76" i="5" s="1"/>
  <c r="DU76" i="5" s="1"/>
  <c r="DX76" i="5" s="1"/>
  <c r="EA76" i="5" s="1"/>
  <c r="ED76" i="5" s="1"/>
  <c r="EG76" i="5" s="1"/>
  <c r="DF75" i="5"/>
  <c r="DI75" i="5" s="1"/>
  <c r="DL75" i="5" s="1"/>
  <c r="DO75" i="5" s="1"/>
  <c r="DR75" i="5" s="1"/>
  <c r="DU75" i="5" s="1"/>
  <c r="DX75" i="5" s="1"/>
  <c r="EA75" i="5" s="1"/>
  <c r="ED75" i="5" s="1"/>
  <c r="EG75" i="5" s="1"/>
  <c r="DF74" i="5"/>
  <c r="DI74" i="5" s="1"/>
  <c r="DL74" i="5" s="1"/>
  <c r="DO74" i="5" s="1"/>
  <c r="DR74" i="5" s="1"/>
  <c r="DU74" i="5" s="1"/>
  <c r="DX74" i="5" s="1"/>
  <c r="EA74" i="5" s="1"/>
  <c r="ED74" i="5" s="1"/>
  <c r="EG74" i="5" s="1"/>
  <c r="DF73" i="5"/>
  <c r="DI73" i="5" s="1"/>
  <c r="DL73" i="5" s="1"/>
  <c r="DO73" i="5" s="1"/>
  <c r="DR73" i="5" s="1"/>
  <c r="DU73" i="5" s="1"/>
  <c r="DX73" i="5" s="1"/>
  <c r="EA73" i="5" s="1"/>
  <c r="ED73" i="5" s="1"/>
  <c r="EG73" i="5" s="1"/>
  <c r="DF72" i="5"/>
  <c r="DI72" i="5" s="1"/>
  <c r="DL72" i="5" s="1"/>
  <c r="DO72" i="5" s="1"/>
  <c r="DR72" i="5" s="1"/>
  <c r="DU72" i="5" s="1"/>
  <c r="DX72" i="5" s="1"/>
  <c r="EA72" i="5" s="1"/>
  <c r="ED72" i="5" s="1"/>
  <c r="EG72" i="5" s="1"/>
  <c r="DF71" i="5"/>
  <c r="DI71" i="5" s="1"/>
  <c r="DL71" i="5" s="1"/>
  <c r="DO71" i="5" s="1"/>
  <c r="DR71" i="5" s="1"/>
  <c r="DU71" i="5" s="1"/>
  <c r="DX71" i="5" s="1"/>
  <c r="EA71" i="5" s="1"/>
  <c r="ED71" i="5" s="1"/>
  <c r="EG71" i="5" s="1"/>
  <c r="DF70" i="5"/>
  <c r="DI70" i="5" s="1"/>
  <c r="DL70" i="5" s="1"/>
  <c r="DO70" i="5" s="1"/>
  <c r="DR70" i="5" s="1"/>
  <c r="DU70" i="5" s="1"/>
  <c r="DX70" i="5" s="1"/>
  <c r="EA70" i="5" s="1"/>
  <c r="ED70" i="5" s="1"/>
  <c r="EG70" i="5" s="1"/>
  <c r="DE68" i="5"/>
  <c r="DF64" i="5"/>
  <c r="DI64" i="5" s="1"/>
  <c r="DL64" i="5" s="1"/>
  <c r="DO64" i="5" s="1"/>
  <c r="DR64" i="5" s="1"/>
  <c r="DU64" i="5" s="1"/>
  <c r="DX64" i="5" s="1"/>
  <c r="EA64" i="5" s="1"/>
  <c r="ED64" i="5" s="1"/>
  <c r="EG64" i="5" s="1"/>
  <c r="DF62" i="5"/>
  <c r="DI62" i="5" s="1"/>
  <c r="DL62" i="5" s="1"/>
  <c r="DO62" i="5" s="1"/>
  <c r="DR62" i="5" s="1"/>
  <c r="DU62" i="5" s="1"/>
  <c r="DX62" i="5" s="1"/>
  <c r="EA62" i="5" s="1"/>
  <c r="ED62" i="5" s="1"/>
  <c r="EG62" i="5" s="1"/>
  <c r="DF61" i="5"/>
  <c r="DF60" i="5"/>
  <c r="DI60" i="5" s="1"/>
  <c r="DL60" i="5" s="1"/>
  <c r="DO60" i="5" s="1"/>
  <c r="DR60" i="5" s="1"/>
  <c r="DU60" i="5" s="1"/>
  <c r="DX60" i="5" s="1"/>
  <c r="EA60" i="5" s="1"/>
  <c r="ED60" i="5" s="1"/>
  <c r="EG60" i="5" s="1"/>
  <c r="DF59" i="5"/>
  <c r="DI59" i="5" s="1"/>
  <c r="DL59" i="5" s="1"/>
  <c r="DO59" i="5" s="1"/>
  <c r="DR59" i="5" s="1"/>
  <c r="DU59" i="5" s="1"/>
  <c r="DX59" i="5" s="1"/>
  <c r="EA59" i="5" s="1"/>
  <c r="ED59" i="5" s="1"/>
  <c r="EG59" i="5" s="1"/>
  <c r="DF56" i="5"/>
  <c r="DI56" i="5" s="1"/>
  <c r="DL56" i="5" s="1"/>
  <c r="DO56" i="5" s="1"/>
  <c r="DR56" i="5" s="1"/>
  <c r="DU56" i="5" s="1"/>
  <c r="DX56" i="5" s="1"/>
  <c r="EA56" i="5" s="1"/>
  <c r="ED56" i="5" s="1"/>
  <c r="EG56" i="5" s="1"/>
  <c r="DE54" i="5"/>
  <c r="DF51" i="5"/>
  <c r="DI51" i="5" s="1"/>
  <c r="DL51" i="5" s="1"/>
  <c r="DO51" i="5" s="1"/>
  <c r="DR51" i="5" s="1"/>
  <c r="DU51" i="5" s="1"/>
  <c r="DX51" i="5" s="1"/>
  <c r="EA51" i="5" s="1"/>
  <c r="ED51" i="5" s="1"/>
  <c r="EG51" i="5" s="1"/>
  <c r="DF45" i="5"/>
  <c r="DI45" i="5" s="1"/>
  <c r="DE43" i="5"/>
  <c r="DF40" i="5"/>
  <c r="DI40" i="5" s="1"/>
  <c r="DF32" i="5"/>
  <c r="DI32" i="5" s="1"/>
  <c r="DL32" i="5" s="1"/>
  <c r="DO32" i="5" s="1"/>
  <c r="DE31" i="5"/>
  <c r="DF26" i="5"/>
  <c r="DE25" i="5"/>
  <c r="DE24" i="5"/>
  <c r="DE23" i="5"/>
  <c r="DF20" i="5"/>
  <c r="DI20" i="5" s="1"/>
  <c r="DL20" i="5" s="1"/>
  <c r="DO20" i="5" s="1"/>
  <c r="DR20" i="5" s="1"/>
  <c r="DU20" i="5" s="1"/>
  <c r="DX20" i="5" s="1"/>
  <c r="EA20" i="5" s="1"/>
  <c r="ED20" i="5" s="1"/>
  <c r="EG20" i="5" s="1"/>
  <c r="DF14" i="5"/>
  <c r="DF12" i="5"/>
  <c r="DE8" i="5"/>
  <c r="DF5" i="5"/>
  <c r="CV68" i="4"/>
  <c r="CY68" i="4" s="1"/>
  <c r="DB68" i="4" s="1"/>
  <c r="DE68" i="4" s="1"/>
  <c r="DH68" i="4" s="1"/>
  <c r="DK68" i="4" s="1"/>
  <c r="DN68" i="4" s="1"/>
  <c r="DQ68" i="4" s="1"/>
  <c r="CV105" i="4"/>
  <c r="CV104" i="4"/>
  <c r="CY104" i="4" s="1"/>
  <c r="DB104" i="4" s="1"/>
  <c r="DE104" i="4" s="1"/>
  <c r="DH104" i="4" s="1"/>
  <c r="DK104" i="4" s="1"/>
  <c r="DN104" i="4" s="1"/>
  <c r="DQ104" i="4" s="1"/>
  <c r="CV103" i="4"/>
  <c r="CY103" i="4" s="1"/>
  <c r="DB103" i="4" s="1"/>
  <c r="DE103" i="4" s="1"/>
  <c r="DH103" i="4" s="1"/>
  <c r="DK103" i="4" s="1"/>
  <c r="DN103" i="4" s="1"/>
  <c r="DQ103" i="4" s="1"/>
  <c r="CV102" i="4"/>
  <c r="CY102" i="4" s="1"/>
  <c r="DB102" i="4" s="1"/>
  <c r="DE102" i="4" s="1"/>
  <c r="DH102" i="4" s="1"/>
  <c r="DK102" i="4" s="1"/>
  <c r="DN102" i="4" s="1"/>
  <c r="DQ102" i="4" s="1"/>
  <c r="CV101" i="4"/>
  <c r="CY101" i="4" s="1"/>
  <c r="DB101" i="4" s="1"/>
  <c r="DE101" i="4" s="1"/>
  <c r="DH101" i="4" s="1"/>
  <c r="DK101" i="4" s="1"/>
  <c r="DN101" i="4" s="1"/>
  <c r="DQ101" i="4" s="1"/>
  <c r="CV100" i="4"/>
  <c r="CY100" i="4" s="1"/>
  <c r="DB100" i="4" s="1"/>
  <c r="DE100" i="4" s="1"/>
  <c r="DH100" i="4" s="1"/>
  <c r="DK100" i="4" s="1"/>
  <c r="DN100" i="4" s="1"/>
  <c r="DQ100" i="4" s="1"/>
  <c r="CV99" i="4"/>
  <c r="CY99" i="4" s="1"/>
  <c r="DB99" i="4" s="1"/>
  <c r="DE99" i="4" s="1"/>
  <c r="DH99" i="4" s="1"/>
  <c r="DK99" i="4" s="1"/>
  <c r="DN99" i="4" s="1"/>
  <c r="DQ99" i="4" s="1"/>
  <c r="CV98" i="4"/>
  <c r="CY98" i="4" s="1"/>
  <c r="DB98" i="4" s="1"/>
  <c r="DE98" i="4" s="1"/>
  <c r="DH98" i="4" s="1"/>
  <c r="DK98" i="4" s="1"/>
  <c r="DN98" i="4" s="1"/>
  <c r="DQ98" i="4" s="1"/>
  <c r="CV97" i="4"/>
  <c r="CY97" i="4" s="1"/>
  <c r="DB97" i="4" s="1"/>
  <c r="DE97" i="4" s="1"/>
  <c r="DH97" i="4" s="1"/>
  <c r="DK97" i="4" s="1"/>
  <c r="DN97" i="4" s="1"/>
  <c r="DQ97" i="4" s="1"/>
  <c r="CV96" i="4"/>
  <c r="CY96" i="4" s="1"/>
  <c r="DB96" i="4" s="1"/>
  <c r="DE96" i="4" s="1"/>
  <c r="DH96" i="4" s="1"/>
  <c r="DK96" i="4" s="1"/>
  <c r="DN96" i="4" s="1"/>
  <c r="DQ96" i="4" s="1"/>
  <c r="CV95" i="4"/>
  <c r="CY95" i="4" s="1"/>
  <c r="DB95" i="4" s="1"/>
  <c r="DE95" i="4" s="1"/>
  <c r="DH95" i="4" s="1"/>
  <c r="DK95" i="4" s="1"/>
  <c r="DN95" i="4" s="1"/>
  <c r="DQ95" i="4" s="1"/>
  <c r="CV87" i="4"/>
  <c r="CV86" i="4"/>
  <c r="CY86" i="4" s="1"/>
  <c r="DB86" i="4" s="1"/>
  <c r="DE86" i="4" s="1"/>
  <c r="DH86" i="4" s="1"/>
  <c r="DK86" i="4" s="1"/>
  <c r="DN86" i="4" s="1"/>
  <c r="DQ86" i="4" s="1"/>
  <c r="CV84" i="4"/>
  <c r="CY84" i="4" s="1"/>
  <c r="DB84" i="4" s="1"/>
  <c r="DE84" i="4" s="1"/>
  <c r="DH84" i="4" s="1"/>
  <c r="DK84" i="4" s="1"/>
  <c r="DN84" i="4" s="1"/>
  <c r="DQ84" i="4" s="1"/>
  <c r="CV83" i="4"/>
  <c r="CY83" i="4" s="1"/>
  <c r="DB83" i="4" s="1"/>
  <c r="DE83" i="4" s="1"/>
  <c r="DH83" i="4" s="1"/>
  <c r="DK83" i="4" s="1"/>
  <c r="DN83" i="4" s="1"/>
  <c r="DQ83" i="4" s="1"/>
  <c r="CV82" i="4"/>
  <c r="CY82" i="4" s="1"/>
  <c r="DB82" i="4" s="1"/>
  <c r="DE82" i="4" s="1"/>
  <c r="DH82" i="4" s="1"/>
  <c r="DK82" i="4" s="1"/>
  <c r="DN82" i="4" s="1"/>
  <c r="DQ82" i="4" s="1"/>
  <c r="CV81" i="4"/>
  <c r="CY81" i="4" s="1"/>
  <c r="DB81" i="4" s="1"/>
  <c r="DE81" i="4" s="1"/>
  <c r="DH81" i="4" s="1"/>
  <c r="DK81" i="4" s="1"/>
  <c r="DN81" i="4" s="1"/>
  <c r="DQ81" i="4" s="1"/>
  <c r="CV80" i="4"/>
  <c r="CY80" i="4" s="1"/>
  <c r="DB80" i="4" s="1"/>
  <c r="DE80" i="4" s="1"/>
  <c r="DH80" i="4" s="1"/>
  <c r="DK80" i="4" s="1"/>
  <c r="DN80" i="4" s="1"/>
  <c r="DQ80" i="4" s="1"/>
  <c r="CV79" i="4"/>
  <c r="CY79" i="4" s="1"/>
  <c r="DB79" i="4" s="1"/>
  <c r="DE79" i="4" s="1"/>
  <c r="DH79" i="4" s="1"/>
  <c r="DK79" i="4" s="1"/>
  <c r="DN79" i="4" s="1"/>
  <c r="CV66" i="4"/>
  <c r="CY66" i="4" s="1"/>
  <c r="DB66" i="4" s="1"/>
  <c r="DE66" i="4" s="1"/>
  <c r="DH66" i="4" s="1"/>
  <c r="DK66" i="4" s="1"/>
  <c r="DN66" i="4" s="1"/>
  <c r="DQ66" i="4" s="1"/>
  <c r="CV61" i="4"/>
  <c r="CY61" i="4" s="1"/>
  <c r="DB61" i="4" s="1"/>
  <c r="DE61" i="4" s="1"/>
  <c r="DH61" i="4" s="1"/>
  <c r="DK61" i="4" s="1"/>
  <c r="DN61" i="4" s="1"/>
  <c r="DQ61" i="4" s="1"/>
  <c r="CV57" i="4"/>
  <c r="CY57" i="4" s="1"/>
  <c r="DB57" i="4" s="1"/>
  <c r="DE57" i="4" s="1"/>
  <c r="DH57" i="4" s="1"/>
  <c r="DK57" i="4" s="1"/>
  <c r="DN57" i="4" s="1"/>
  <c r="DQ57" i="4" s="1"/>
  <c r="CV56" i="4"/>
  <c r="CY56" i="4" s="1"/>
  <c r="DB56" i="4" s="1"/>
  <c r="DE56" i="4" s="1"/>
  <c r="DH56" i="4" s="1"/>
  <c r="DK56" i="4" s="1"/>
  <c r="DN56" i="4" s="1"/>
  <c r="DQ56" i="4" s="1"/>
  <c r="CV38" i="4"/>
  <c r="CY38" i="4" s="1"/>
  <c r="DB38" i="4" s="1"/>
  <c r="DE38" i="4" s="1"/>
  <c r="DH38" i="4" s="1"/>
  <c r="DK38" i="4" s="1"/>
  <c r="DN38" i="4" s="1"/>
  <c r="DQ38" i="4" s="1"/>
  <c r="CV35" i="4"/>
  <c r="CY35" i="4" s="1"/>
  <c r="DB35" i="4" s="1"/>
  <c r="DE35" i="4" s="1"/>
  <c r="DH35" i="4" s="1"/>
  <c r="DK35" i="4" s="1"/>
  <c r="DN35" i="4" s="1"/>
  <c r="DQ35" i="4" s="1"/>
  <c r="CV31" i="4"/>
  <c r="CY31" i="4" s="1"/>
  <c r="DB31" i="4" s="1"/>
  <c r="DE31" i="4" s="1"/>
  <c r="DH31" i="4" s="1"/>
  <c r="DK31" i="4" s="1"/>
  <c r="DN31" i="4" s="1"/>
  <c r="DQ31" i="4" s="1"/>
  <c r="CV30" i="4"/>
  <c r="CY30" i="4" s="1"/>
  <c r="DB30" i="4" s="1"/>
  <c r="DE30" i="4" s="1"/>
  <c r="DH30" i="4" s="1"/>
  <c r="DK30" i="4" s="1"/>
  <c r="DN30" i="4" s="1"/>
  <c r="DQ30" i="4" s="1"/>
  <c r="CV29" i="4"/>
  <c r="CY29" i="4" s="1"/>
  <c r="DB29" i="4" s="1"/>
  <c r="DE29" i="4" s="1"/>
  <c r="DH29" i="4" s="1"/>
  <c r="DK29" i="4" s="1"/>
  <c r="DN29" i="4" s="1"/>
  <c r="DQ29" i="4" s="1"/>
  <c r="CV28" i="4"/>
  <c r="CY28" i="4" s="1"/>
  <c r="DB28" i="4" s="1"/>
  <c r="DE28" i="4" s="1"/>
  <c r="DH28" i="4" s="1"/>
  <c r="DK28" i="4" s="1"/>
  <c r="DN28" i="4" s="1"/>
  <c r="CV27" i="4"/>
  <c r="CV25" i="4"/>
  <c r="CY25" i="4" s="1"/>
  <c r="DB25" i="4" s="1"/>
  <c r="DE25" i="4" s="1"/>
  <c r="DH25" i="4" s="1"/>
  <c r="DK25" i="4" s="1"/>
  <c r="DN25" i="4" s="1"/>
  <c r="DQ25" i="4" s="1"/>
  <c r="CV24" i="4"/>
  <c r="CY24" i="4" s="1"/>
  <c r="DB24" i="4" s="1"/>
  <c r="DE24" i="4" s="1"/>
  <c r="DH24" i="4" s="1"/>
  <c r="DK24" i="4" s="1"/>
  <c r="CV6" i="4"/>
  <c r="CY6" i="4" s="1"/>
  <c r="DB6" i="4" s="1"/>
  <c r="DE6" i="4" s="1"/>
  <c r="DH6" i="4" s="1"/>
  <c r="DK6" i="4" s="1"/>
  <c r="DN6" i="4" s="1"/>
  <c r="DQ6" i="4" s="1"/>
  <c r="CV7" i="4"/>
  <c r="CY7" i="4" s="1"/>
  <c r="DB7" i="4" s="1"/>
  <c r="DE7" i="4" s="1"/>
  <c r="DH7" i="4" s="1"/>
  <c r="DK7" i="4" s="1"/>
  <c r="DN7" i="4" s="1"/>
  <c r="DQ7" i="4" s="1"/>
  <c r="CV8" i="4"/>
  <c r="CY8" i="4" s="1"/>
  <c r="DB8" i="4" s="1"/>
  <c r="DE8" i="4" s="1"/>
  <c r="DH8" i="4" s="1"/>
  <c r="DK8" i="4" s="1"/>
  <c r="DN8" i="4" s="1"/>
  <c r="DQ8" i="4" s="1"/>
  <c r="CV9" i="4"/>
  <c r="CY9" i="4" s="1"/>
  <c r="DB9" i="4" s="1"/>
  <c r="DE9" i="4" s="1"/>
  <c r="DH9" i="4" s="1"/>
  <c r="DK9" i="4" s="1"/>
  <c r="DN9" i="4" s="1"/>
  <c r="DQ9" i="4" s="1"/>
  <c r="CV10" i="4"/>
  <c r="CY10" i="4" s="1"/>
  <c r="DB10" i="4" s="1"/>
  <c r="DE10" i="4" s="1"/>
  <c r="DH10" i="4" s="1"/>
  <c r="DK10" i="4" s="1"/>
  <c r="DN10" i="4" s="1"/>
  <c r="DQ10" i="4" s="1"/>
  <c r="CV11" i="4"/>
  <c r="CY11" i="4" s="1"/>
  <c r="DB11" i="4" s="1"/>
  <c r="DE11" i="4" s="1"/>
  <c r="DH11" i="4" s="1"/>
  <c r="DK11" i="4" s="1"/>
  <c r="DN11" i="4" s="1"/>
  <c r="DQ11" i="4" s="1"/>
  <c r="CV12" i="4"/>
  <c r="CY12" i="4" s="1"/>
  <c r="DB12" i="4" s="1"/>
  <c r="DE12" i="4" s="1"/>
  <c r="DH12" i="4" s="1"/>
  <c r="DK12" i="4" s="1"/>
  <c r="DN12" i="4" s="1"/>
  <c r="DQ12" i="4" s="1"/>
  <c r="CV13" i="4"/>
  <c r="CY13" i="4" s="1"/>
  <c r="DB13" i="4" s="1"/>
  <c r="DE13" i="4" s="1"/>
  <c r="DH13" i="4" s="1"/>
  <c r="DK13" i="4" s="1"/>
  <c r="DN13" i="4" s="1"/>
  <c r="DQ13" i="4" s="1"/>
  <c r="CV15" i="4"/>
  <c r="CY15" i="4" s="1"/>
  <c r="DB15" i="4" s="1"/>
  <c r="DE15" i="4" s="1"/>
  <c r="DH15" i="4" s="1"/>
  <c r="DK15" i="4" s="1"/>
  <c r="DN15" i="4" s="1"/>
  <c r="DQ15" i="4" s="1"/>
  <c r="CV16" i="4"/>
  <c r="CY16" i="4" s="1"/>
  <c r="DB16" i="4" s="1"/>
  <c r="DE16" i="4" s="1"/>
  <c r="DH16" i="4" s="1"/>
  <c r="DK16" i="4" s="1"/>
  <c r="DN16" i="4" s="1"/>
  <c r="DQ16" i="4" s="1"/>
  <c r="CV17" i="4"/>
  <c r="CY17" i="4" s="1"/>
  <c r="DB17" i="4" s="1"/>
  <c r="DE17" i="4" s="1"/>
  <c r="DH17" i="4" s="1"/>
  <c r="DK17" i="4" s="1"/>
  <c r="DN17" i="4" s="1"/>
  <c r="DQ17" i="4" s="1"/>
  <c r="CV18" i="4"/>
  <c r="CY18" i="4" s="1"/>
  <c r="DB18" i="4" s="1"/>
  <c r="DE18" i="4" s="1"/>
  <c r="DH18" i="4" s="1"/>
  <c r="DK18" i="4" s="1"/>
  <c r="DN18" i="4" s="1"/>
  <c r="DQ18" i="4" s="1"/>
  <c r="CV21" i="4"/>
  <c r="CY21" i="4" s="1"/>
  <c r="DB21" i="4" s="1"/>
  <c r="DE21" i="4" s="1"/>
  <c r="DH21" i="4" s="1"/>
  <c r="DK21" i="4" s="1"/>
  <c r="DN21" i="4" s="1"/>
  <c r="DQ21" i="4" s="1"/>
  <c r="CV5" i="4"/>
  <c r="CY5" i="4" s="1"/>
  <c r="DB5" i="4" s="1"/>
  <c r="DE5" i="4" s="1"/>
  <c r="DH5" i="4" s="1"/>
  <c r="DK5" i="4" s="1"/>
  <c r="CU115" i="4"/>
  <c r="CU33" i="4"/>
  <c r="H8" i="53" s="1"/>
  <c r="CU22" i="4"/>
  <c r="H5" i="53" s="1"/>
  <c r="F23" i="45"/>
  <c r="E23" i="45"/>
  <c r="D23" i="45"/>
  <c r="C23" i="45"/>
  <c r="F16" i="44"/>
  <c r="E16" i="44"/>
  <c r="D15" i="44"/>
  <c r="D16" i="44" s="1"/>
  <c r="C15" i="44"/>
  <c r="C16" i="44" s="1"/>
  <c r="C14" i="44"/>
  <c r="F11" i="44"/>
  <c r="F13" i="44" s="1"/>
  <c r="E11" i="44"/>
  <c r="E13" i="44" s="1"/>
  <c r="F10" i="44"/>
  <c r="E10" i="44"/>
  <c r="E11" i="15"/>
  <c r="D15" i="15"/>
  <c r="D16" i="15" s="1"/>
  <c r="C14" i="15"/>
  <c r="C15" i="15"/>
  <c r="C16" i="15" s="1"/>
  <c r="FO167" i="5" l="1"/>
  <c r="FL339" i="5"/>
  <c r="FL186" i="5"/>
  <c r="FL332" i="5" s="1"/>
  <c r="D14" i="63"/>
  <c r="G12" i="63"/>
  <c r="F17" i="44"/>
  <c r="DI276" i="5"/>
  <c r="H9" i="53"/>
  <c r="DQ79" i="4"/>
  <c r="K14" i="52"/>
  <c r="K25" i="52" s="1"/>
  <c r="K16" i="53"/>
  <c r="K25" i="53"/>
  <c r="K14" i="51"/>
  <c r="K25" i="51" s="1"/>
  <c r="DN24" i="4"/>
  <c r="DQ24" i="4" s="1"/>
  <c r="H5" i="51"/>
  <c r="H5" i="52"/>
  <c r="H8" i="51"/>
  <c r="H8" i="52"/>
  <c r="DN5" i="4"/>
  <c r="DQ5" i="4" s="1"/>
  <c r="DK115" i="4"/>
  <c r="K14" i="50"/>
  <c r="K25" i="50" s="1"/>
  <c r="DH115" i="4"/>
  <c r="DF24" i="5"/>
  <c r="H8" i="48"/>
  <c r="H8" i="50"/>
  <c r="H8" i="49"/>
  <c r="DE115" i="4"/>
  <c r="H5" i="48"/>
  <c r="H5" i="50"/>
  <c r="H5" i="49"/>
  <c r="K14" i="49"/>
  <c r="K16" i="49" s="1"/>
  <c r="DR319" i="5"/>
  <c r="DO329" i="5"/>
  <c r="DO37" i="5"/>
  <c r="DR32" i="5"/>
  <c r="K14" i="48"/>
  <c r="K16" i="48" s="1"/>
  <c r="DL188" i="5"/>
  <c r="DO181" i="5"/>
  <c r="K14" i="47"/>
  <c r="K16" i="47" s="1"/>
  <c r="DB115" i="4"/>
  <c r="DL329" i="5"/>
  <c r="DI142" i="5"/>
  <c r="DL141" i="5"/>
  <c r="DI103" i="5"/>
  <c r="DL99" i="5"/>
  <c r="DE335" i="5"/>
  <c r="H13" i="53" s="1"/>
  <c r="DI318" i="5"/>
  <c r="DL314" i="5"/>
  <c r="DI43" i="5"/>
  <c r="DL40" i="5"/>
  <c r="DI87" i="5"/>
  <c r="DL86" i="5"/>
  <c r="DI24" i="5"/>
  <c r="DL13" i="5"/>
  <c r="DF188" i="5"/>
  <c r="DI197" i="5"/>
  <c r="DL196" i="5"/>
  <c r="DF43" i="5"/>
  <c r="DF197" i="5"/>
  <c r="DI54" i="5"/>
  <c r="DL45" i="5"/>
  <c r="DL37" i="5"/>
  <c r="DI260" i="5"/>
  <c r="DL254" i="5"/>
  <c r="DF8" i="5"/>
  <c r="DI5" i="5"/>
  <c r="DF139" i="5"/>
  <c r="DI136" i="5"/>
  <c r="DF230" i="5"/>
  <c r="DI226" i="5"/>
  <c r="DE332" i="5"/>
  <c r="DF23" i="5"/>
  <c r="DI12" i="5"/>
  <c r="DF199" i="5"/>
  <c r="DI198" i="5"/>
  <c r="DF224" i="5"/>
  <c r="DI211" i="5"/>
  <c r="DI223" i="5" s="1"/>
  <c r="DI164" i="5"/>
  <c r="DL164" i="5" s="1"/>
  <c r="DO164" i="5" s="1"/>
  <c r="DR164" i="5" s="1"/>
  <c r="DU164" i="5" s="1"/>
  <c r="DX164" i="5" s="1"/>
  <c r="EA164" i="5" s="1"/>
  <c r="ED164" i="5" s="1"/>
  <c r="EG164" i="5" s="1"/>
  <c r="DF130" i="5"/>
  <c r="DI126" i="5"/>
  <c r="DF150" i="5"/>
  <c r="DI144" i="5"/>
  <c r="DF318" i="5"/>
  <c r="DF329" i="5"/>
  <c r="DF54" i="5"/>
  <c r="DF151" i="5"/>
  <c r="DI145" i="5"/>
  <c r="DF313" i="5"/>
  <c r="DI307" i="5"/>
  <c r="DF37" i="5"/>
  <c r="DE333" i="5"/>
  <c r="DF294" i="5"/>
  <c r="DI282" i="5"/>
  <c r="DI329" i="5"/>
  <c r="DF103" i="5"/>
  <c r="DF163" i="5"/>
  <c r="DI159" i="5"/>
  <c r="DF116" i="5"/>
  <c r="DI109" i="5"/>
  <c r="DF102" i="5"/>
  <c r="DI97" i="5"/>
  <c r="DF225" i="5"/>
  <c r="DI220" i="5"/>
  <c r="DI123" i="5"/>
  <c r="DL123" i="5" s="1"/>
  <c r="DO123" i="5" s="1"/>
  <c r="DR123" i="5" s="1"/>
  <c r="DU123" i="5" s="1"/>
  <c r="DX123" i="5" s="1"/>
  <c r="EA123" i="5" s="1"/>
  <c r="ED123" i="5" s="1"/>
  <c r="EG123" i="5" s="1"/>
  <c r="DF31" i="5"/>
  <c r="DI26" i="5"/>
  <c r="DF302" i="5"/>
  <c r="DI299" i="5"/>
  <c r="DF260" i="5"/>
  <c r="DF143" i="5"/>
  <c r="DI140" i="5"/>
  <c r="DF25" i="5"/>
  <c r="DI14" i="5"/>
  <c r="H5" i="47"/>
  <c r="H5" i="46"/>
  <c r="CY105" i="4"/>
  <c r="CV111" i="4"/>
  <c r="I6" i="53" s="1"/>
  <c r="DF68" i="5"/>
  <c r="DI61" i="5"/>
  <c r="DF81" i="5"/>
  <c r="DI78" i="5"/>
  <c r="DF138" i="5"/>
  <c r="DI132" i="5"/>
  <c r="DF195" i="5"/>
  <c r="DI189" i="5"/>
  <c r="DF142" i="5"/>
  <c r="DF87" i="5"/>
  <c r="DF187" i="5"/>
  <c r="DI177" i="5"/>
  <c r="H8" i="46"/>
  <c r="H8" i="47"/>
  <c r="CY87" i="4"/>
  <c r="CV89" i="4"/>
  <c r="I7" i="53" s="1"/>
  <c r="DI37" i="5"/>
  <c r="DF306" i="5"/>
  <c r="DI303" i="5"/>
  <c r="DI188" i="5"/>
  <c r="DI296" i="5"/>
  <c r="DL296" i="5" s="1"/>
  <c r="DO296" i="5" s="1"/>
  <c r="CY115" i="4"/>
  <c r="CV33" i="4"/>
  <c r="I8" i="53" s="1"/>
  <c r="CY27" i="4"/>
  <c r="DF223" i="5"/>
  <c r="DF115" i="5"/>
  <c r="DF101" i="5"/>
  <c r="DF80" i="5"/>
  <c r="CU113" i="4"/>
  <c r="CU1" i="4" s="1"/>
  <c r="CV115" i="4"/>
  <c r="E17" i="44"/>
  <c r="F23" i="14"/>
  <c r="DC125" i="5"/>
  <c r="DF125" i="5" s="1"/>
  <c r="DI125" i="5" s="1"/>
  <c r="DL125" i="5" s="1"/>
  <c r="DO125" i="5" s="1"/>
  <c r="DR125" i="5" s="1"/>
  <c r="DU125" i="5" s="1"/>
  <c r="DX125" i="5" s="1"/>
  <c r="EA125" i="5" s="1"/>
  <c r="ED125" i="5" s="1"/>
  <c r="EG125" i="5" s="1"/>
  <c r="DC101" i="5"/>
  <c r="DC103" i="5"/>
  <c r="DC155" i="5"/>
  <c r="DF155" i="5" s="1"/>
  <c r="DI155" i="5" s="1"/>
  <c r="R12" i="61" l="1"/>
  <c r="R14" i="61" s="1"/>
  <c r="FL337" i="5"/>
  <c r="FL1" i="5" s="1"/>
  <c r="FO339" i="5"/>
  <c r="FO186" i="5"/>
  <c r="FO332" i="5" s="1"/>
  <c r="FO337" i="5" s="1"/>
  <c r="FO1" i="5" s="1"/>
  <c r="G14" i="63"/>
  <c r="D29" i="63"/>
  <c r="D16" i="63"/>
  <c r="K16" i="52"/>
  <c r="H9" i="52"/>
  <c r="H9" i="51"/>
  <c r="DL276" i="5"/>
  <c r="DQ115" i="4"/>
  <c r="K16" i="51"/>
  <c r="H12" i="52"/>
  <c r="H12" i="53"/>
  <c r="H14" i="53" s="1"/>
  <c r="DN115" i="4"/>
  <c r="I7" i="51"/>
  <c r="I7" i="52"/>
  <c r="I6" i="51"/>
  <c r="I6" i="52"/>
  <c r="I8" i="51"/>
  <c r="I8" i="52"/>
  <c r="K16" i="50"/>
  <c r="H13" i="51"/>
  <c r="H13" i="52"/>
  <c r="H12" i="50"/>
  <c r="H12" i="51"/>
  <c r="DR37" i="5"/>
  <c r="DU32" i="5"/>
  <c r="DR329" i="5"/>
  <c r="DU319" i="5"/>
  <c r="H9" i="49"/>
  <c r="H9" i="48"/>
  <c r="H9" i="50"/>
  <c r="I7" i="48"/>
  <c r="I7" i="50"/>
  <c r="I7" i="49"/>
  <c r="I6" i="48"/>
  <c r="I6" i="50"/>
  <c r="I6" i="49"/>
  <c r="I8" i="48"/>
  <c r="I8" i="50"/>
  <c r="I8" i="49"/>
  <c r="K25" i="49"/>
  <c r="H13" i="49"/>
  <c r="H13" i="50"/>
  <c r="K25" i="48"/>
  <c r="K25" i="47"/>
  <c r="DO188" i="5"/>
  <c r="DR181" i="5"/>
  <c r="DR296" i="5"/>
  <c r="DU296" i="5" s="1"/>
  <c r="DX296" i="5" s="1"/>
  <c r="EA296" i="5" s="1"/>
  <c r="ED296" i="5" s="1"/>
  <c r="EG296" i="5" s="1"/>
  <c r="DO298" i="5"/>
  <c r="DL24" i="5"/>
  <c r="DO13" i="5"/>
  <c r="DL260" i="5"/>
  <c r="DO254" i="5"/>
  <c r="DL87" i="5"/>
  <c r="DO86" i="5"/>
  <c r="DL43" i="5"/>
  <c r="DO40" i="5"/>
  <c r="DL54" i="5"/>
  <c r="DO45" i="5"/>
  <c r="DL318" i="5"/>
  <c r="DO314" i="5"/>
  <c r="DL142" i="5"/>
  <c r="DO141" i="5"/>
  <c r="H12" i="48"/>
  <c r="H12" i="49"/>
  <c r="DL197" i="5"/>
  <c r="DO196" i="5"/>
  <c r="DL103" i="5"/>
  <c r="DO99" i="5"/>
  <c r="H13" i="47"/>
  <c r="H13" i="48"/>
  <c r="CY111" i="4"/>
  <c r="L6" i="53" s="1"/>
  <c r="DB105" i="4"/>
  <c r="CY89" i="4"/>
  <c r="L7" i="53" s="1"/>
  <c r="DB87" i="4"/>
  <c r="CY33" i="4"/>
  <c r="L8" i="53" s="1"/>
  <c r="DB27" i="4"/>
  <c r="H13" i="46"/>
  <c r="DI224" i="5"/>
  <c r="DL211" i="5"/>
  <c r="DI306" i="5"/>
  <c r="DL303" i="5"/>
  <c r="DI8" i="5"/>
  <c r="DL5" i="5"/>
  <c r="DI138" i="5"/>
  <c r="DL132" i="5"/>
  <c r="DO132" i="5" s="1"/>
  <c r="DR132" i="5" s="1"/>
  <c r="DU132" i="5" s="1"/>
  <c r="DX132" i="5" s="1"/>
  <c r="EA132" i="5" s="1"/>
  <c r="ED132" i="5" s="1"/>
  <c r="EG132" i="5" s="1"/>
  <c r="DI151" i="5"/>
  <c r="DL145" i="5"/>
  <c r="DI199" i="5"/>
  <c r="DL198" i="5"/>
  <c r="DF335" i="5"/>
  <c r="DI143" i="5"/>
  <c r="DL140" i="5"/>
  <c r="DI163" i="5"/>
  <c r="DL159" i="5"/>
  <c r="DI162" i="5"/>
  <c r="DL155" i="5"/>
  <c r="DI68" i="5"/>
  <c r="DL61" i="5"/>
  <c r="DI23" i="5"/>
  <c r="DL12" i="5"/>
  <c r="DI302" i="5"/>
  <c r="DL299" i="5"/>
  <c r="DI31" i="5"/>
  <c r="DL26" i="5"/>
  <c r="DI81" i="5"/>
  <c r="DL78" i="5"/>
  <c r="DO78" i="5" s="1"/>
  <c r="DR78" i="5" s="1"/>
  <c r="DU78" i="5" s="1"/>
  <c r="DX78" i="5" s="1"/>
  <c r="EA78" i="5" s="1"/>
  <c r="ED78" i="5" s="1"/>
  <c r="EG78" i="5" s="1"/>
  <c r="EG80" i="5" s="1"/>
  <c r="DF333" i="5"/>
  <c r="DI187" i="5"/>
  <c r="DL177" i="5"/>
  <c r="DI294" i="5"/>
  <c r="DL282" i="5"/>
  <c r="DI150" i="5"/>
  <c r="DL144" i="5"/>
  <c r="DI116" i="5"/>
  <c r="DL109" i="5"/>
  <c r="DO109" i="5" s="1"/>
  <c r="DR109" i="5" s="1"/>
  <c r="DU109" i="5" s="1"/>
  <c r="DX109" i="5" s="1"/>
  <c r="EA109" i="5" s="1"/>
  <c r="ED109" i="5" s="1"/>
  <c r="EG109" i="5" s="1"/>
  <c r="DI230" i="5"/>
  <c r="DL226" i="5"/>
  <c r="DI225" i="5"/>
  <c r="DL220" i="5"/>
  <c r="DI139" i="5"/>
  <c r="DL136" i="5"/>
  <c r="DI130" i="5"/>
  <c r="DL126" i="5"/>
  <c r="DL298" i="5"/>
  <c r="DI195" i="5"/>
  <c r="DL189" i="5"/>
  <c r="DI25" i="5"/>
  <c r="DL14" i="5"/>
  <c r="DI102" i="5"/>
  <c r="DL97" i="5"/>
  <c r="DO97" i="5" s="1"/>
  <c r="DR97" i="5" s="1"/>
  <c r="DU97" i="5" s="1"/>
  <c r="DX97" i="5" s="1"/>
  <c r="EA97" i="5" s="1"/>
  <c r="ED97" i="5" s="1"/>
  <c r="EG97" i="5" s="1"/>
  <c r="DI313" i="5"/>
  <c r="DL307" i="5"/>
  <c r="DI101" i="5"/>
  <c r="H12" i="47"/>
  <c r="H12" i="46"/>
  <c r="I7" i="46"/>
  <c r="I7" i="47"/>
  <c r="DE337" i="5"/>
  <c r="DE1" i="5" s="1"/>
  <c r="DI298" i="5"/>
  <c r="I6" i="46"/>
  <c r="I6" i="47"/>
  <c r="DI129" i="5"/>
  <c r="DI115" i="5"/>
  <c r="DF162" i="5"/>
  <c r="H9" i="46"/>
  <c r="DF129" i="5"/>
  <c r="H9" i="47"/>
  <c r="DI80" i="5"/>
  <c r="I8" i="46"/>
  <c r="I8" i="47"/>
  <c r="DC267" i="5"/>
  <c r="DC264" i="5"/>
  <c r="DC263" i="5"/>
  <c r="DF263" i="5" s="1"/>
  <c r="C3" i="43"/>
  <c r="C4" i="43"/>
  <c r="C5" i="43"/>
  <c r="C6" i="43"/>
  <c r="C2" i="43"/>
  <c r="DC173" i="5"/>
  <c r="DF173" i="5" s="1"/>
  <c r="DI173" i="5" s="1"/>
  <c r="DL173" i="5" s="1"/>
  <c r="DO173" i="5" s="1"/>
  <c r="DR173" i="5" s="1"/>
  <c r="DU173" i="5" s="1"/>
  <c r="DX173" i="5" s="1"/>
  <c r="EA173" i="5" s="1"/>
  <c r="ED173" i="5" s="1"/>
  <c r="EG173" i="5" s="1"/>
  <c r="DC167" i="5"/>
  <c r="DF167" i="5" s="1"/>
  <c r="DI167" i="5" s="1"/>
  <c r="DL167" i="5" s="1"/>
  <c r="DO167" i="5" s="1"/>
  <c r="DR167" i="5" s="1"/>
  <c r="DU167" i="5" s="1"/>
  <c r="DX167" i="5" s="1"/>
  <c r="EA167" i="5" s="1"/>
  <c r="DC166" i="5"/>
  <c r="DF166" i="5" s="1"/>
  <c r="R16" i="61" l="1"/>
  <c r="R27" i="61"/>
  <c r="C7" i="43"/>
  <c r="DF264" i="5"/>
  <c r="DI264" i="5" s="1"/>
  <c r="DL264" i="5" s="1"/>
  <c r="DO264" i="5" s="1"/>
  <c r="DR264" i="5" s="1"/>
  <c r="DU264" i="5" s="1"/>
  <c r="DX264" i="5" s="1"/>
  <c r="EA264" i="5" s="1"/>
  <c r="ED264" i="5" s="1"/>
  <c r="EG264" i="5" s="1"/>
  <c r="DC339" i="5"/>
  <c r="DO276" i="5"/>
  <c r="H14" i="52"/>
  <c r="H16" i="52" s="1"/>
  <c r="I13" i="52"/>
  <c r="I13" i="53"/>
  <c r="EG116" i="5"/>
  <c r="EG115" i="5"/>
  <c r="EG298" i="5"/>
  <c r="H16" i="53"/>
  <c r="H25" i="53"/>
  <c r="EG81" i="5"/>
  <c r="EG102" i="5"/>
  <c r="EG101" i="5"/>
  <c r="L8" i="51"/>
  <c r="L8" i="52"/>
  <c r="L7" i="51"/>
  <c r="L7" i="52"/>
  <c r="L6" i="51"/>
  <c r="L6" i="52"/>
  <c r="ED167" i="5"/>
  <c r="EG167" i="5" s="1"/>
  <c r="ED298" i="5"/>
  <c r="ED102" i="5"/>
  <c r="ED101" i="5"/>
  <c r="ED81" i="5"/>
  <c r="ED80" i="5"/>
  <c r="ED116" i="5"/>
  <c r="ED115" i="5"/>
  <c r="EA116" i="5"/>
  <c r="EA115" i="5"/>
  <c r="EA298" i="5"/>
  <c r="EA102" i="5"/>
  <c r="EA101" i="5"/>
  <c r="EA81" i="5"/>
  <c r="EA80" i="5"/>
  <c r="DU329" i="5"/>
  <c r="DX319" i="5"/>
  <c r="DU37" i="5"/>
  <c r="DX32" i="5"/>
  <c r="DX298" i="5"/>
  <c r="H14" i="51"/>
  <c r="H16" i="51" s="1"/>
  <c r="DX81" i="5"/>
  <c r="DX80" i="5"/>
  <c r="DX102" i="5"/>
  <c r="DX101" i="5"/>
  <c r="DX116" i="5"/>
  <c r="DX115" i="5"/>
  <c r="H14" i="50"/>
  <c r="H16" i="50" s="1"/>
  <c r="H14" i="48"/>
  <c r="H25" i="48" s="1"/>
  <c r="DU116" i="5"/>
  <c r="DU115" i="5"/>
  <c r="I13" i="50"/>
  <c r="I13" i="51"/>
  <c r="DU298" i="5"/>
  <c r="DU102" i="5"/>
  <c r="DU101" i="5"/>
  <c r="DU81" i="5"/>
  <c r="DU80" i="5"/>
  <c r="DR188" i="5"/>
  <c r="DU181" i="5"/>
  <c r="DB89" i="4"/>
  <c r="O7" i="53" s="1"/>
  <c r="DE87" i="4"/>
  <c r="L7" i="50"/>
  <c r="L7" i="49"/>
  <c r="DB33" i="4"/>
  <c r="O8" i="53" s="1"/>
  <c r="DE27" i="4"/>
  <c r="DB111" i="4"/>
  <c r="O6" i="53" s="1"/>
  <c r="DE105" i="4"/>
  <c r="L6" i="50"/>
  <c r="L6" i="49"/>
  <c r="L8" i="50"/>
  <c r="L8" i="49"/>
  <c r="H14" i="49"/>
  <c r="H16" i="49" s="1"/>
  <c r="DO260" i="5"/>
  <c r="DR254" i="5"/>
  <c r="DO142" i="5"/>
  <c r="DR141" i="5"/>
  <c r="DO24" i="5"/>
  <c r="DR13" i="5"/>
  <c r="DO318" i="5"/>
  <c r="DR314" i="5"/>
  <c r="DR102" i="5"/>
  <c r="DR101" i="5"/>
  <c r="DR81" i="5"/>
  <c r="DR80" i="5"/>
  <c r="DO54" i="5"/>
  <c r="DR45" i="5"/>
  <c r="DR298" i="5"/>
  <c r="DR116" i="5"/>
  <c r="DR115" i="5"/>
  <c r="DO103" i="5"/>
  <c r="DR99" i="5"/>
  <c r="DO43" i="5"/>
  <c r="DR40" i="5"/>
  <c r="DO197" i="5"/>
  <c r="DR196" i="5"/>
  <c r="DO87" i="5"/>
  <c r="DR86" i="5"/>
  <c r="H14" i="47"/>
  <c r="H25" i="47" s="1"/>
  <c r="DO116" i="5"/>
  <c r="DO115" i="5"/>
  <c r="DL223" i="5"/>
  <c r="DO211" i="5"/>
  <c r="DR211" i="5" s="1"/>
  <c r="DU211" i="5" s="1"/>
  <c r="DX211" i="5" s="1"/>
  <c r="EA211" i="5" s="1"/>
  <c r="ED211" i="5" s="1"/>
  <c r="EG211" i="5" s="1"/>
  <c r="DL150" i="5"/>
  <c r="DO144" i="5"/>
  <c r="DL199" i="5"/>
  <c r="DO198" i="5"/>
  <c r="DL294" i="5"/>
  <c r="DO282" i="5"/>
  <c r="DL151" i="5"/>
  <c r="DO145" i="5"/>
  <c r="I13" i="48"/>
  <c r="I13" i="49"/>
  <c r="DL23" i="5"/>
  <c r="DO12" i="5"/>
  <c r="DL130" i="5"/>
  <c r="DO126" i="5"/>
  <c r="DR126" i="5" s="1"/>
  <c r="DU126" i="5" s="1"/>
  <c r="DX126" i="5" s="1"/>
  <c r="EA126" i="5" s="1"/>
  <c r="ED126" i="5" s="1"/>
  <c r="EG126" i="5" s="1"/>
  <c r="DL68" i="5"/>
  <c r="DO61" i="5"/>
  <c r="DL187" i="5"/>
  <c r="DO177" i="5"/>
  <c r="DL139" i="5"/>
  <c r="DO136" i="5"/>
  <c r="DL313" i="5"/>
  <c r="DO307" i="5"/>
  <c r="DL162" i="5"/>
  <c r="DO155" i="5"/>
  <c r="DL8" i="5"/>
  <c r="DO5" i="5"/>
  <c r="DL163" i="5"/>
  <c r="DO159" i="5"/>
  <c r="DL195" i="5"/>
  <c r="DO189" i="5"/>
  <c r="DL225" i="5"/>
  <c r="DO220" i="5"/>
  <c r="DL302" i="5"/>
  <c r="DO299" i="5"/>
  <c r="DO102" i="5"/>
  <c r="DO101" i="5"/>
  <c r="DO81" i="5"/>
  <c r="DO80" i="5"/>
  <c r="DL230" i="5"/>
  <c r="DO226" i="5"/>
  <c r="DL306" i="5"/>
  <c r="DO303" i="5"/>
  <c r="DL25" i="5"/>
  <c r="DO14" i="5"/>
  <c r="DL31" i="5"/>
  <c r="DO26" i="5"/>
  <c r="DL143" i="5"/>
  <c r="DO140" i="5"/>
  <c r="H14" i="46"/>
  <c r="H16" i="46" s="1"/>
  <c r="I13" i="46"/>
  <c r="I13" i="47"/>
  <c r="L8" i="47"/>
  <c r="L8" i="48"/>
  <c r="L7" i="47"/>
  <c r="L7" i="48"/>
  <c r="L6" i="47"/>
  <c r="L6" i="48"/>
  <c r="DI335" i="5"/>
  <c r="L13" i="53" s="1"/>
  <c r="DL81" i="5"/>
  <c r="DL80" i="5"/>
  <c r="DL138" i="5"/>
  <c r="DI333" i="5"/>
  <c r="DL102" i="5"/>
  <c r="DL101" i="5"/>
  <c r="DL116" i="5"/>
  <c r="DL115" i="5"/>
  <c r="DL224" i="5"/>
  <c r="DL129" i="5"/>
  <c r="DI263" i="5"/>
  <c r="DL263" i="5" s="1"/>
  <c r="DO263" i="5" s="1"/>
  <c r="DR263" i="5" s="1"/>
  <c r="DU263" i="5" s="1"/>
  <c r="DX263" i="5" s="1"/>
  <c r="EA263" i="5" s="1"/>
  <c r="ED263" i="5" s="1"/>
  <c r="EG263" i="5" s="1"/>
  <c r="DF267" i="5"/>
  <c r="DF339" i="5" s="1"/>
  <c r="DI166" i="5"/>
  <c r="DF186" i="5"/>
  <c r="CS31" i="4"/>
  <c r="CS27" i="4"/>
  <c r="DR276" i="5" l="1"/>
  <c r="H25" i="52"/>
  <c r="EG130" i="5"/>
  <c r="EG129" i="5"/>
  <c r="EG224" i="5"/>
  <c r="EG223" i="5"/>
  <c r="O6" i="51"/>
  <c r="O6" i="52"/>
  <c r="O8" i="51"/>
  <c r="O8" i="52"/>
  <c r="O7" i="51"/>
  <c r="O7" i="52"/>
  <c r="ED130" i="5"/>
  <c r="ED129" i="5"/>
  <c r="ED224" i="5"/>
  <c r="ED223" i="5"/>
  <c r="DX329" i="5"/>
  <c r="EA319" i="5"/>
  <c r="ED319" i="5" s="1"/>
  <c r="EG319" i="5" s="1"/>
  <c r="EA130" i="5"/>
  <c r="EA129" i="5"/>
  <c r="EA224" i="5"/>
  <c r="EA223" i="5"/>
  <c r="DX37" i="5"/>
  <c r="EA32" i="5"/>
  <c r="H16" i="48"/>
  <c r="H25" i="50"/>
  <c r="H25" i="51"/>
  <c r="DU188" i="5"/>
  <c r="DX181" i="5"/>
  <c r="DX130" i="5"/>
  <c r="DX129" i="5"/>
  <c r="L13" i="51"/>
  <c r="L13" i="52"/>
  <c r="DX224" i="5"/>
  <c r="DX223" i="5"/>
  <c r="H25" i="49"/>
  <c r="DR318" i="5"/>
  <c r="DU314" i="5"/>
  <c r="DX314" i="5" s="1"/>
  <c r="DR142" i="5"/>
  <c r="DU141" i="5"/>
  <c r="DR103" i="5"/>
  <c r="DU99" i="5"/>
  <c r="DU224" i="5"/>
  <c r="DU223" i="5"/>
  <c r="DR24" i="5"/>
  <c r="DU13" i="5"/>
  <c r="DR54" i="5"/>
  <c r="DU45" i="5"/>
  <c r="DR260" i="5"/>
  <c r="DU254" i="5"/>
  <c r="DR87" i="5"/>
  <c r="DU86" i="5"/>
  <c r="DR197" i="5"/>
  <c r="DU196" i="5"/>
  <c r="DU130" i="5"/>
  <c r="DU129" i="5"/>
  <c r="DR43" i="5"/>
  <c r="DU40" i="5"/>
  <c r="DH105" i="4"/>
  <c r="DE111" i="4"/>
  <c r="R6" i="53" s="1"/>
  <c r="DE33" i="4"/>
  <c r="DH27" i="4"/>
  <c r="DE89" i="4"/>
  <c r="DH87" i="4"/>
  <c r="O6" i="49"/>
  <c r="O6" i="50"/>
  <c r="O6" i="48"/>
  <c r="O8" i="48"/>
  <c r="O8" i="50"/>
  <c r="O8" i="49"/>
  <c r="O7" i="48"/>
  <c r="O7" i="50"/>
  <c r="O7" i="49"/>
  <c r="L13" i="49"/>
  <c r="L13" i="50"/>
  <c r="H16" i="47"/>
  <c r="DO143" i="5"/>
  <c r="DR140" i="5"/>
  <c r="DO162" i="5"/>
  <c r="DR155" i="5"/>
  <c r="DO23" i="5"/>
  <c r="DR12" i="5"/>
  <c r="DO150" i="5"/>
  <c r="DR144" i="5"/>
  <c r="DO31" i="5"/>
  <c r="DR26" i="5"/>
  <c r="DO302" i="5"/>
  <c r="DR299" i="5"/>
  <c r="DU299" i="5" s="1"/>
  <c r="DO313" i="5"/>
  <c r="DR307" i="5"/>
  <c r="DR224" i="5"/>
  <c r="DR223" i="5"/>
  <c r="DO225" i="5"/>
  <c r="DR220" i="5"/>
  <c r="DO139" i="5"/>
  <c r="DR136" i="5"/>
  <c r="DU136" i="5" s="1"/>
  <c r="DX136" i="5" s="1"/>
  <c r="EA136" i="5" s="1"/>
  <c r="ED136" i="5" s="1"/>
  <c r="EG136" i="5" s="1"/>
  <c r="DO25" i="5"/>
  <c r="DR14" i="5"/>
  <c r="DO306" i="5"/>
  <c r="DR303" i="5"/>
  <c r="DO195" i="5"/>
  <c r="DR189" i="5"/>
  <c r="DO187" i="5"/>
  <c r="DR177" i="5"/>
  <c r="DO151" i="5"/>
  <c r="DR145" i="5"/>
  <c r="DO230" i="5"/>
  <c r="DR226" i="5"/>
  <c r="DO163" i="5"/>
  <c r="DR159" i="5"/>
  <c r="DO68" i="5"/>
  <c r="DR61" i="5"/>
  <c r="DO294" i="5"/>
  <c r="DR282" i="5"/>
  <c r="DO8" i="5"/>
  <c r="DR5" i="5"/>
  <c r="DR130" i="5"/>
  <c r="DR129" i="5"/>
  <c r="DO199" i="5"/>
  <c r="DR198" i="5"/>
  <c r="H25" i="46"/>
  <c r="DL335" i="5"/>
  <c r="O13" i="53" s="1"/>
  <c r="DO130" i="5"/>
  <c r="DO129" i="5"/>
  <c r="DO224" i="5"/>
  <c r="DO223" i="5"/>
  <c r="DO138" i="5"/>
  <c r="L13" i="47"/>
  <c r="L13" i="48"/>
  <c r="DI186" i="5"/>
  <c r="DL166" i="5"/>
  <c r="DL333" i="5"/>
  <c r="DI267" i="5"/>
  <c r="DF293" i="5"/>
  <c r="DF332" i="5" s="1"/>
  <c r="CS86" i="4"/>
  <c r="DC260" i="5"/>
  <c r="CR14" i="4"/>
  <c r="CS87" i="4"/>
  <c r="CS84" i="4"/>
  <c r="CS83" i="4"/>
  <c r="CS82" i="4"/>
  <c r="CS81" i="4"/>
  <c r="CS80" i="4"/>
  <c r="CS79" i="4"/>
  <c r="CS66" i="4"/>
  <c r="CS61" i="4"/>
  <c r="CS57" i="4"/>
  <c r="CS56" i="4"/>
  <c r="CS38" i="4"/>
  <c r="CS35" i="4"/>
  <c r="CS28" i="4"/>
  <c r="CS25" i="4"/>
  <c r="CS24" i="4"/>
  <c r="CS21" i="4"/>
  <c r="CS16" i="4"/>
  <c r="CS15" i="4"/>
  <c r="CS13" i="4"/>
  <c r="CS12" i="4"/>
  <c r="CS11" i="4"/>
  <c r="CS10" i="4"/>
  <c r="CS8" i="4"/>
  <c r="CS7" i="4"/>
  <c r="CS6" i="4"/>
  <c r="CS5" i="4"/>
  <c r="CR111" i="4"/>
  <c r="CP111" i="4"/>
  <c r="E6" i="53" s="1"/>
  <c r="D23" i="14"/>
  <c r="E23" i="14"/>
  <c r="C23" i="14"/>
  <c r="C6" i="61" l="1"/>
  <c r="C6" i="60"/>
  <c r="C6" i="59"/>
  <c r="C6" i="58"/>
  <c r="C6" i="56"/>
  <c r="DI293" i="5"/>
  <c r="DI339" i="5"/>
  <c r="DU276" i="5"/>
  <c r="R8" i="52"/>
  <c r="R8" i="53"/>
  <c r="R7" i="52"/>
  <c r="R7" i="53"/>
  <c r="C6" i="54"/>
  <c r="F6" i="53"/>
  <c r="EG139" i="5"/>
  <c r="EG138" i="5"/>
  <c r="EG329" i="5"/>
  <c r="I12" i="52"/>
  <c r="I14" i="52" s="1"/>
  <c r="I12" i="53"/>
  <c r="I14" i="53" s="1"/>
  <c r="DH89" i="4"/>
  <c r="U7" i="53" s="1"/>
  <c r="DK87" i="4"/>
  <c r="DH33" i="4"/>
  <c r="U8" i="53" s="1"/>
  <c r="DK27" i="4"/>
  <c r="R6" i="51"/>
  <c r="R6" i="52"/>
  <c r="DK105" i="4"/>
  <c r="DH111" i="4"/>
  <c r="E6" i="51"/>
  <c r="E6" i="52"/>
  <c r="F6" i="51"/>
  <c r="F6" i="52"/>
  <c r="ED329" i="5"/>
  <c r="ED139" i="5"/>
  <c r="ED138" i="5"/>
  <c r="EA37" i="5"/>
  <c r="ED32" i="5"/>
  <c r="DX318" i="5"/>
  <c r="EA314" i="5"/>
  <c r="EA139" i="5"/>
  <c r="EA138" i="5"/>
  <c r="DX188" i="5"/>
  <c r="EA181" i="5"/>
  <c r="EA329" i="5"/>
  <c r="DU43" i="5"/>
  <c r="DX40" i="5"/>
  <c r="DU24" i="5"/>
  <c r="DX13" i="5"/>
  <c r="DX139" i="5"/>
  <c r="DX138" i="5"/>
  <c r="DU197" i="5"/>
  <c r="DX196" i="5"/>
  <c r="DU103" i="5"/>
  <c r="DX99" i="5"/>
  <c r="DU87" i="5"/>
  <c r="DX86" i="5"/>
  <c r="DU142" i="5"/>
  <c r="DX141" i="5"/>
  <c r="DU260" i="5"/>
  <c r="DX254" i="5"/>
  <c r="DU302" i="5"/>
  <c r="DX299" i="5"/>
  <c r="O13" i="51"/>
  <c r="O13" i="52"/>
  <c r="DU54" i="5"/>
  <c r="DX45" i="5"/>
  <c r="DI332" i="5"/>
  <c r="DR151" i="5"/>
  <c r="DU145" i="5"/>
  <c r="DX145" i="5" s="1"/>
  <c r="DR225" i="5"/>
  <c r="DU220" i="5"/>
  <c r="DR23" i="5"/>
  <c r="DU12" i="5"/>
  <c r="DR8" i="5"/>
  <c r="DU5" i="5"/>
  <c r="DR187" i="5"/>
  <c r="DU177" i="5"/>
  <c r="DR162" i="5"/>
  <c r="DU155" i="5"/>
  <c r="DR294" i="5"/>
  <c r="DU282" i="5"/>
  <c r="DR143" i="5"/>
  <c r="DU140" i="5"/>
  <c r="DR195" i="5"/>
  <c r="DU189" i="5"/>
  <c r="DR313" i="5"/>
  <c r="DU307" i="5"/>
  <c r="DR68" i="5"/>
  <c r="DU61" i="5"/>
  <c r="DR306" i="5"/>
  <c r="DU303" i="5"/>
  <c r="I12" i="50"/>
  <c r="I14" i="50" s="1"/>
  <c r="I12" i="51"/>
  <c r="I14" i="51" s="1"/>
  <c r="DR163" i="5"/>
  <c r="DU159" i="5"/>
  <c r="DR31" i="5"/>
  <c r="DU26" i="5"/>
  <c r="DR25" i="5"/>
  <c r="DU14" i="5"/>
  <c r="DR230" i="5"/>
  <c r="DU226" i="5"/>
  <c r="DU318" i="5"/>
  <c r="DR199" i="5"/>
  <c r="DU198" i="5"/>
  <c r="DU139" i="5"/>
  <c r="DU138" i="5"/>
  <c r="DR150" i="5"/>
  <c r="DU144" i="5"/>
  <c r="R6" i="50"/>
  <c r="R7" i="50"/>
  <c r="R7" i="51"/>
  <c r="R8" i="50"/>
  <c r="R8" i="51"/>
  <c r="E6" i="48"/>
  <c r="E6" i="50"/>
  <c r="E6" i="49"/>
  <c r="F6" i="48"/>
  <c r="F6" i="50"/>
  <c r="F6" i="49"/>
  <c r="O13" i="49"/>
  <c r="O13" i="50"/>
  <c r="O13" i="48"/>
  <c r="DO335" i="5"/>
  <c r="DO333" i="5"/>
  <c r="DR302" i="5"/>
  <c r="DR139" i="5"/>
  <c r="DR138" i="5"/>
  <c r="I12" i="48"/>
  <c r="I14" i="48" s="1"/>
  <c r="I12" i="49"/>
  <c r="I14" i="49" s="1"/>
  <c r="DL186" i="5"/>
  <c r="DO166" i="5"/>
  <c r="DL267" i="5"/>
  <c r="I12" i="47"/>
  <c r="I14" i="47" s="1"/>
  <c r="I12" i="46"/>
  <c r="I14" i="46" s="1"/>
  <c r="DF337" i="5"/>
  <c r="DF1" i="5" s="1"/>
  <c r="E6" i="45"/>
  <c r="C7" i="44" s="1"/>
  <c r="E6" i="47"/>
  <c r="E6" i="46"/>
  <c r="F6" i="47"/>
  <c r="F6" i="46"/>
  <c r="CS111" i="4"/>
  <c r="F6" i="45"/>
  <c r="CS14" i="4"/>
  <c r="CV14" i="4"/>
  <c r="DA129" i="5"/>
  <c r="CX329" i="5"/>
  <c r="CU329" i="5"/>
  <c r="CX318" i="5"/>
  <c r="CU318" i="5"/>
  <c r="CX313" i="5"/>
  <c r="CU313" i="5"/>
  <c r="CX306" i="5"/>
  <c r="CU306" i="5"/>
  <c r="CX302" i="5"/>
  <c r="CU302" i="5"/>
  <c r="CY295" i="5"/>
  <c r="CX295" i="5"/>
  <c r="CV295" i="5"/>
  <c r="CU295" i="5"/>
  <c r="CX294" i="5"/>
  <c r="CU294" i="5"/>
  <c r="CX293" i="5"/>
  <c r="CU293" i="5"/>
  <c r="CX260" i="5"/>
  <c r="CU260" i="5"/>
  <c r="CX230" i="5"/>
  <c r="CU230" i="5"/>
  <c r="CX225" i="5"/>
  <c r="CU225" i="5"/>
  <c r="CX224" i="5"/>
  <c r="CU224" i="5"/>
  <c r="CX223" i="5"/>
  <c r="CU223" i="5"/>
  <c r="CY199" i="5"/>
  <c r="CX199" i="5"/>
  <c r="CV199" i="5"/>
  <c r="CU199" i="5"/>
  <c r="CX197" i="5"/>
  <c r="CU197" i="5"/>
  <c r="CX195" i="5"/>
  <c r="CU195" i="5"/>
  <c r="CX188" i="5"/>
  <c r="CU188" i="5"/>
  <c r="CX187" i="5"/>
  <c r="CU187" i="5"/>
  <c r="CX186" i="5"/>
  <c r="CU186" i="5"/>
  <c r="CY163" i="5"/>
  <c r="CX163" i="5"/>
  <c r="CV163" i="5"/>
  <c r="CU163" i="5"/>
  <c r="CX162" i="5"/>
  <c r="CU162" i="5"/>
  <c r="CY151" i="5"/>
  <c r="CX151" i="5"/>
  <c r="CV151" i="5"/>
  <c r="CU151" i="5"/>
  <c r="CX150" i="5"/>
  <c r="CU150" i="5"/>
  <c r="CX143" i="5"/>
  <c r="CU143" i="5"/>
  <c r="CX142" i="5"/>
  <c r="CU142" i="5"/>
  <c r="CX139" i="5"/>
  <c r="CU139" i="5"/>
  <c r="CX138" i="5"/>
  <c r="CU138" i="5"/>
  <c r="CX131" i="5"/>
  <c r="CU131" i="5"/>
  <c r="CX130" i="5"/>
  <c r="CU130" i="5"/>
  <c r="CX129" i="5"/>
  <c r="CU129" i="5"/>
  <c r="CX121" i="5"/>
  <c r="CU121" i="5"/>
  <c r="CX120" i="5"/>
  <c r="CU120" i="5"/>
  <c r="CX116" i="5"/>
  <c r="CU116" i="5"/>
  <c r="CX115" i="5"/>
  <c r="CU115" i="5"/>
  <c r="CX102" i="5"/>
  <c r="CU102" i="5"/>
  <c r="CX101" i="5"/>
  <c r="CU101" i="5"/>
  <c r="CX87" i="5"/>
  <c r="CU87" i="5"/>
  <c r="CX81" i="5"/>
  <c r="CU81" i="5"/>
  <c r="CX80" i="5"/>
  <c r="CU80" i="5"/>
  <c r="CX69" i="5"/>
  <c r="CU69" i="5"/>
  <c r="CX68" i="5"/>
  <c r="CU68" i="5"/>
  <c r="CX54" i="5"/>
  <c r="CU54" i="5"/>
  <c r="CX43" i="5"/>
  <c r="CU43" i="5"/>
  <c r="CX37" i="5"/>
  <c r="CU37" i="5"/>
  <c r="CX31" i="5"/>
  <c r="CU31" i="5"/>
  <c r="CX25" i="5"/>
  <c r="CU25" i="5"/>
  <c r="CX24" i="5"/>
  <c r="CU24" i="5"/>
  <c r="CX23" i="5"/>
  <c r="CU23" i="5"/>
  <c r="CX8" i="5"/>
  <c r="CU8" i="5"/>
  <c r="CM115" i="4"/>
  <c r="CJ115" i="4"/>
  <c r="CM111" i="4"/>
  <c r="CJ111" i="4"/>
  <c r="CM89" i="4"/>
  <c r="CJ89" i="4"/>
  <c r="CM33" i="4"/>
  <c r="CJ33" i="4"/>
  <c r="CM22" i="4"/>
  <c r="CJ22" i="4"/>
  <c r="DO267" i="5" l="1"/>
  <c r="DO339" i="5" s="1"/>
  <c r="DL339" i="5"/>
  <c r="DX276" i="5"/>
  <c r="U6" i="52"/>
  <c r="U6" i="53"/>
  <c r="ED37" i="5"/>
  <c r="EG32" i="5"/>
  <c r="EG37" i="5" s="1"/>
  <c r="L12" i="52"/>
  <c r="L14" i="52" s="1"/>
  <c r="L12" i="53"/>
  <c r="L14" i="53" s="1"/>
  <c r="DN105" i="4"/>
  <c r="DK111" i="4"/>
  <c r="U6" i="51"/>
  <c r="DN27" i="4"/>
  <c r="DK33" i="4"/>
  <c r="U8" i="51"/>
  <c r="U8" i="52"/>
  <c r="DK89" i="4"/>
  <c r="DN87" i="4"/>
  <c r="U7" i="51"/>
  <c r="U7" i="52"/>
  <c r="EA188" i="5"/>
  <c r="ED181" i="5"/>
  <c r="EA318" i="5"/>
  <c r="ED314" i="5"/>
  <c r="EG314" i="5" s="1"/>
  <c r="DX151" i="5"/>
  <c r="EA145" i="5"/>
  <c r="DX142" i="5"/>
  <c r="EA141" i="5"/>
  <c r="DX43" i="5"/>
  <c r="EA40" i="5"/>
  <c r="DX54" i="5"/>
  <c r="EA45" i="5"/>
  <c r="DX87" i="5"/>
  <c r="EA86" i="5"/>
  <c r="DX103" i="5"/>
  <c r="EA99" i="5"/>
  <c r="DX24" i="5"/>
  <c r="EA13" i="5"/>
  <c r="DX302" i="5"/>
  <c r="EA299" i="5"/>
  <c r="ED299" i="5" s="1"/>
  <c r="DX197" i="5"/>
  <c r="EA196" i="5"/>
  <c r="DX260" i="5"/>
  <c r="EA254" i="5"/>
  <c r="DI337" i="5"/>
  <c r="DI1" i="5" s="1"/>
  <c r="L12" i="51"/>
  <c r="L14" i="51" s="1"/>
  <c r="L12" i="50"/>
  <c r="L14" i="50" s="1"/>
  <c r="L12" i="49"/>
  <c r="L14" i="49" s="1"/>
  <c r="L12" i="47"/>
  <c r="L14" i="47" s="1"/>
  <c r="L12" i="48"/>
  <c r="L14" i="48" s="1"/>
  <c r="DU306" i="5"/>
  <c r="DX303" i="5"/>
  <c r="DU25" i="5"/>
  <c r="DX14" i="5"/>
  <c r="DU68" i="5"/>
  <c r="DX61" i="5"/>
  <c r="DU187" i="5"/>
  <c r="DX177" i="5"/>
  <c r="DU313" i="5"/>
  <c r="DX307" i="5"/>
  <c r="DU8" i="5"/>
  <c r="DX5" i="5"/>
  <c r="DU150" i="5"/>
  <c r="DX144" i="5"/>
  <c r="DU31" i="5"/>
  <c r="DX26" i="5"/>
  <c r="DU195" i="5"/>
  <c r="DX189" i="5"/>
  <c r="DU23" i="5"/>
  <c r="DX12" i="5"/>
  <c r="DU163" i="5"/>
  <c r="DX159" i="5"/>
  <c r="DU143" i="5"/>
  <c r="DX140" i="5"/>
  <c r="DU225" i="5"/>
  <c r="DX220" i="5"/>
  <c r="DU199" i="5"/>
  <c r="DX198" i="5"/>
  <c r="DU294" i="5"/>
  <c r="DX282" i="5"/>
  <c r="DU151" i="5"/>
  <c r="DU162" i="5"/>
  <c r="DX155" i="5"/>
  <c r="DU230" i="5"/>
  <c r="DX226" i="5"/>
  <c r="DR335" i="5"/>
  <c r="R13" i="53" s="1"/>
  <c r="DR333" i="5"/>
  <c r="DO186" i="5"/>
  <c r="DR166" i="5"/>
  <c r="DL293" i="5"/>
  <c r="DL332" i="5" s="1"/>
  <c r="O12" i="53" s="1"/>
  <c r="O14" i="53" s="1"/>
  <c r="D7" i="44"/>
  <c r="H6" i="45"/>
  <c r="CY14" i="4"/>
  <c r="CV22" i="4"/>
  <c r="I5" i="53" s="1"/>
  <c r="I9" i="53" s="1"/>
  <c r="I16" i="53" s="1"/>
  <c r="CM113" i="4"/>
  <c r="CM1" i="4" s="1"/>
  <c r="CX1" i="5"/>
  <c r="CX333" i="5"/>
  <c r="CU332" i="5"/>
  <c r="CU333" i="5"/>
  <c r="CX335" i="5"/>
  <c r="CU1" i="5"/>
  <c r="CU335" i="5"/>
  <c r="CX332" i="5"/>
  <c r="CJ113" i="4"/>
  <c r="CJ1" i="4" s="1"/>
  <c r="DO293" i="5" l="1"/>
  <c r="DO332" i="5" s="1"/>
  <c r="DR267" i="5"/>
  <c r="DR339" i="5" s="1"/>
  <c r="EA276" i="5"/>
  <c r="DQ105" i="4"/>
  <c r="DN111" i="4"/>
  <c r="AA6" i="53" s="1"/>
  <c r="X6" i="52"/>
  <c r="X6" i="53"/>
  <c r="DN33" i="4"/>
  <c r="AA8" i="53" s="1"/>
  <c r="DQ27" i="4"/>
  <c r="DQ33" i="4" s="1"/>
  <c r="I25" i="53"/>
  <c r="DN89" i="4"/>
  <c r="AA7" i="53" s="1"/>
  <c r="DQ87" i="4"/>
  <c r="X7" i="52"/>
  <c r="X7" i="53"/>
  <c r="X8" i="52"/>
  <c r="X8" i="53"/>
  <c r="EG318" i="5"/>
  <c r="ED188" i="5"/>
  <c r="EG181" i="5"/>
  <c r="EG188" i="5" s="1"/>
  <c r="ED302" i="5"/>
  <c r="EG299" i="5"/>
  <c r="EG302" i="5" s="1"/>
  <c r="I5" i="51"/>
  <c r="I9" i="51" s="1"/>
  <c r="I25" i="51" s="1"/>
  <c r="I5" i="52"/>
  <c r="I9" i="52" s="1"/>
  <c r="EA197" i="5"/>
  <c r="ED196" i="5"/>
  <c r="EA260" i="5"/>
  <c r="ED254" i="5"/>
  <c r="EA54" i="5"/>
  <c r="ED45" i="5"/>
  <c r="EA43" i="5"/>
  <c r="ED40" i="5"/>
  <c r="EA142" i="5"/>
  <c r="ED141" i="5"/>
  <c r="EA24" i="5"/>
  <c r="ED13" i="5"/>
  <c r="EA151" i="5"/>
  <c r="ED145" i="5"/>
  <c r="EA103" i="5"/>
  <c r="ED99" i="5"/>
  <c r="ED318" i="5"/>
  <c r="EA87" i="5"/>
  <c r="ED86" i="5"/>
  <c r="DX163" i="5"/>
  <c r="EA159" i="5"/>
  <c r="DX162" i="5"/>
  <c r="EA155" i="5"/>
  <c r="DX195" i="5"/>
  <c r="EA189" i="5"/>
  <c r="DX68" i="5"/>
  <c r="EA61" i="5"/>
  <c r="DX199" i="5"/>
  <c r="EA198" i="5"/>
  <c r="DX31" i="5"/>
  <c r="EA26" i="5"/>
  <c r="DX25" i="5"/>
  <c r="EA14" i="5"/>
  <c r="DX187" i="5"/>
  <c r="EA177" i="5"/>
  <c r="DX294" i="5"/>
  <c r="EA282" i="5"/>
  <c r="DX313" i="5"/>
  <c r="EA307" i="5"/>
  <c r="DX225" i="5"/>
  <c r="EA220" i="5"/>
  <c r="DX150" i="5"/>
  <c r="EA144" i="5"/>
  <c r="DX306" i="5"/>
  <c r="EA303" i="5"/>
  <c r="EA302" i="5"/>
  <c r="DX230" i="5"/>
  <c r="EA226" i="5"/>
  <c r="DX8" i="5"/>
  <c r="EA5" i="5"/>
  <c r="DX23" i="5"/>
  <c r="EA12" i="5"/>
  <c r="DX143" i="5"/>
  <c r="EA140" i="5"/>
  <c r="DU335" i="5"/>
  <c r="DU333" i="5"/>
  <c r="R13" i="50"/>
  <c r="R13" i="52"/>
  <c r="O12" i="51"/>
  <c r="O14" i="51" s="1"/>
  <c r="O12" i="52"/>
  <c r="O14" i="52" s="1"/>
  <c r="R13" i="51"/>
  <c r="DR186" i="5"/>
  <c r="DU166" i="5"/>
  <c r="I5" i="48"/>
  <c r="I9" i="48" s="1"/>
  <c r="I25" i="48" s="1"/>
  <c r="I5" i="50"/>
  <c r="I9" i="50" s="1"/>
  <c r="I5" i="49"/>
  <c r="I9" i="49" s="1"/>
  <c r="O12" i="49"/>
  <c r="O14" i="49" s="1"/>
  <c r="O12" i="50"/>
  <c r="O14" i="50" s="1"/>
  <c r="DL337" i="5"/>
  <c r="DL1" i="5" s="1"/>
  <c r="O12" i="48"/>
  <c r="O14" i="48" s="1"/>
  <c r="CY22" i="4"/>
  <c r="DB14" i="4"/>
  <c r="CV113" i="4"/>
  <c r="CV1" i="4" s="1"/>
  <c r="I5" i="46"/>
  <c r="I9" i="46" s="1"/>
  <c r="I5" i="47"/>
  <c r="I9" i="47" s="1"/>
  <c r="CX337" i="5"/>
  <c r="CU337" i="5"/>
  <c r="DR293" i="5" l="1"/>
  <c r="DU267" i="5"/>
  <c r="DU293" i="5" s="1"/>
  <c r="DQ89" i="4"/>
  <c r="DQ111" i="4"/>
  <c r="ED276" i="5"/>
  <c r="L5" i="52"/>
  <c r="L9" i="52" s="1"/>
  <c r="L16" i="52" s="1"/>
  <c r="L5" i="53"/>
  <c r="L9" i="53" s="1"/>
  <c r="ED142" i="5"/>
  <c r="EG141" i="5"/>
  <c r="EG142" i="5" s="1"/>
  <c r="ED43" i="5"/>
  <c r="EG40" i="5"/>
  <c r="EG43" i="5" s="1"/>
  <c r="ED54" i="5"/>
  <c r="EG45" i="5"/>
  <c r="EG54" i="5" s="1"/>
  <c r="ED87" i="5"/>
  <c r="EG86" i="5"/>
  <c r="EG87" i="5" s="1"/>
  <c r="ED103" i="5"/>
  <c r="EG99" i="5"/>
  <c r="EG103" i="5" s="1"/>
  <c r="ED260" i="5"/>
  <c r="EG254" i="5"/>
  <c r="EG260" i="5" s="1"/>
  <c r="U13" i="52"/>
  <c r="U13" i="53"/>
  <c r="ED151" i="5"/>
  <c r="EG145" i="5"/>
  <c r="EG151" i="5" s="1"/>
  <c r="ED197" i="5"/>
  <c r="EG196" i="5"/>
  <c r="EG197" i="5" s="1"/>
  <c r="ED24" i="5"/>
  <c r="EG13" i="5"/>
  <c r="EG24" i="5" s="1"/>
  <c r="I16" i="51"/>
  <c r="I16" i="52"/>
  <c r="I25" i="52"/>
  <c r="DX333" i="5"/>
  <c r="EA306" i="5"/>
  <c r="ED303" i="5"/>
  <c r="EA25" i="5"/>
  <c r="ED14" i="5"/>
  <c r="EA163" i="5"/>
  <c r="ED159" i="5"/>
  <c r="EA150" i="5"/>
  <c r="ED144" i="5"/>
  <c r="EA31" i="5"/>
  <c r="ED26" i="5"/>
  <c r="EA143" i="5"/>
  <c r="ED140" i="5"/>
  <c r="EA225" i="5"/>
  <c r="ED220" i="5"/>
  <c r="EA199" i="5"/>
  <c r="ED198" i="5"/>
  <c r="EA23" i="5"/>
  <c r="ED12" i="5"/>
  <c r="EA313" i="5"/>
  <c r="ED307" i="5"/>
  <c r="EA68" i="5"/>
  <c r="ED61" i="5"/>
  <c r="EA8" i="5"/>
  <c r="ED5" i="5"/>
  <c r="EA294" i="5"/>
  <c r="ED282" i="5"/>
  <c r="EG282" i="5" s="1"/>
  <c r="EA195" i="5"/>
  <c r="ED189" i="5"/>
  <c r="EA230" i="5"/>
  <c r="ED226" i="5"/>
  <c r="EG226" i="5" s="1"/>
  <c r="EG230" i="5" s="1"/>
  <c r="EA187" i="5"/>
  <c r="ED177" i="5"/>
  <c r="EA162" i="5"/>
  <c r="ED155" i="5"/>
  <c r="DX335" i="5"/>
  <c r="U13" i="51"/>
  <c r="DR332" i="5"/>
  <c r="DU186" i="5"/>
  <c r="DX166" i="5"/>
  <c r="EA166" i="5" s="1"/>
  <c r="CY113" i="4"/>
  <c r="CY1" i="4" s="1"/>
  <c r="L5" i="51"/>
  <c r="L9" i="51" s="1"/>
  <c r="L5" i="47"/>
  <c r="L9" i="47" s="1"/>
  <c r="L16" i="47" s="1"/>
  <c r="I16" i="48"/>
  <c r="I16" i="49"/>
  <c r="I25" i="49"/>
  <c r="I25" i="50"/>
  <c r="I16" i="50"/>
  <c r="DB22" i="4"/>
  <c r="O5" i="53" s="1"/>
  <c r="O9" i="53" s="1"/>
  <c r="DE14" i="4"/>
  <c r="L5" i="48"/>
  <c r="L9" i="48" s="1"/>
  <c r="L25" i="48" s="1"/>
  <c r="L5" i="49"/>
  <c r="L9" i="49" s="1"/>
  <c r="L5" i="50"/>
  <c r="L9" i="50" s="1"/>
  <c r="DO337" i="5"/>
  <c r="DO1" i="5" s="1"/>
  <c r="I16" i="47"/>
  <c r="I25" i="47"/>
  <c r="I16" i="46"/>
  <c r="I25" i="46"/>
  <c r="CP22" i="4"/>
  <c r="E5" i="53" s="1"/>
  <c r="DA329" i="5"/>
  <c r="DA318" i="5"/>
  <c r="DA313" i="5"/>
  <c r="DA306" i="5"/>
  <c r="DA302" i="5"/>
  <c r="DA295" i="5"/>
  <c r="DA294" i="5"/>
  <c r="DA293" i="5"/>
  <c r="DA260" i="5"/>
  <c r="DA230" i="5"/>
  <c r="DA225" i="5"/>
  <c r="DA224" i="5"/>
  <c r="DA223" i="5"/>
  <c r="DA199" i="5"/>
  <c r="DA197" i="5"/>
  <c r="DA195" i="5"/>
  <c r="DA188" i="5"/>
  <c r="DA187" i="5"/>
  <c r="DA186" i="5"/>
  <c r="DA163" i="5"/>
  <c r="DA162" i="5"/>
  <c r="DA151" i="5"/>
  <c r="DA150" i="5"/>
  <c r="DA143" i="5"/>
  <c r="DA142" i="5"/>
  <c r="DA139" i="5"/>
  <c r="DA138" i="5"/>
  <c r="DA131" i="5"/>
  <c r="DA130" i="5"/>
  <c r="DA121" i="5"/>
  <c r="DA120" i="5"/>
  <c r="DA116" i="5"/>
  <c r="DA115" i="5"/>
  <c r="DA102" i="5"/>
  <c r="DA101" i="5"/>
  <c r="DA87" i="5"/>
  <c r="DA81" i="5"/>
  <c r="DA80" i="5"/>
  <c r="DA69" i="5"/>
  <c r="DA68" i="5"/>
  <c r="DA54" i="5"/>
  <c r="DA43" i="5"/>
  <c r="DA37" i="5"/>
  <c r="DA31" i="5"/>
  <c r="DA25" i="5"/>
  <c r="DA24" i="5"/>
  <c r="DA23" i="5"/>
  <c r="DA8" i="5"/>
  <c r="E6" i="14"/>
  <c r="C7" i="15" s="1"/>
  <c r="CP89" i="4"/>
  <c r="E7" i="53" s="1"/>
  <c r="CP33" i="4"/>
  <c r="E8" i="53" s="1"/>
  <c r="CR115" i="4"/>
  <c r="F6" i="14"/>
  <c r="D7" i="15" s="1"/>
  <c r="CR89" i="4"/>
  <c r="CR33" i="4"/>
  <c r="CR22" i="4"/>
  <c r="DC329" i="5"/>
  <c r="DC318" i="5"/>
  <c r="DC313" i="5"/>
  <c r="DC306" i="5"/>
  <c r="DC302" i="5"/>
  <c r="DC295" i="5"/>
  <c r="DC294" i="5"/>
  <c r="DC293" i="5"/>
  <c r="DC230" i="5"/>
  <c r="DC225" i="5"/>
  <c r="DC224" i="5"/>
  <c r="DC223" i="5"/>
  <c r="DC199" i="5"/>
  <c r="DC197" i="5"/>
  <c r="DC195" i="5"/>
  <c r="DC188" i="5"/>
  <c r="DC187" i="5"/>
  <c r="DC186" i="5"/>
  <c r="DC163" i="5"/>
  <c r="DC162" i="5"/>
  <c r="DC151" i="5"/>
  <c r="DC150" i="5"/>
  <c r="DC143" i="5"/>
  <c r="DC142" i="5"/>
  <c r="DC139" i="5"/>
  <c r="DC138" i="5"/>
  <c r="DC131" i="5"/>
  <c r="DC130" i="5"/>
  <c r="DC129" i="5"/>
  <c r="DC121" i="5"/>
  <c r="DC120" i="5"/>
  <c r="DC116" i="5"/>
  <c r="DC115" i="5"/>
  <c r="DC102" i="5"/>
  <c r="DC87" i="5"/>
  <c r="DC81" i="5"/>
  <c r="DC80" i="5"/>
  <c r="DC69" i="5"/>
  <c r="DC68" i="5"/>
  <c r="DC54" i="5"/>
  <c r="DC43" i="5"/>
  <c r="DC31" i="5"/>
  <c r="DC25" i="5"/>
  <c r="DC24" i="5"/>
  <c r="DC23" i="5"/>
  <c r="DC8" i="5"/>
  <c r="F11" i="15"/>
  <c r="F13" i="15" s="1"/>
  <c r="E16" i="15"/>
  <c r="E13" i="15"/>
  <c r="F10" i="15"/>
  <c r="E10" i="15"/>
  <c r="E17" i="15" l="1"/>
  <c r="C5" i="61"/>
  <c r="C5" i="60"/>
  <c r="C8" i="60"/>
  <c r="C8" i="61"/>
  <c r="C7" i="60"/>
  <c r="C7" i="61"/>
  <c r="D6" i="61"/>
  <c r="D6" i="60"/>
  <c r="D7" i="54"/>
  <c r="G7" i="54" s="1"/>
  <c r="D7" i="60"/>
  <c r="D7" i="61"/>
  <c r="DU332" i="5"/>
  <c r="U12" i="53" s="1"/>
  <c r="U14" i="53" s="1"/>
  <c r="DU339" i="5"/>
  <c r="DX267" i="5"/>
  <c r="EA267" i="5" s="1"/>
  <c r="L25" i="52"/>
  <c r="C8" i="59"/>
  <c r="C8" i="58"/>
  <c r="C8" i="56"/>
  <c r="C5" i="59"/>
  <c r="C5" i="58"/>
  <c r="C5" i="56"/>
  <c r="D6" i="56"/>
  <c r="G6" i="56" s="1"/>
  <c r="D6" i="59"/>
  <c r="D6" i="58"/>
  <c r="D6" i="54"/>
  <c r="G6" i="54" s="1"/>
  <c r="C7" i="59"/>
  <c r="C7" i="58"/>
  <c r="C7" i="56"/>
  <c r="D7" i="59"/>
  <c r="D7" i="58"/>
  <c r="D7" i="56"/>
  <c r="G7" i="56" s="1"/>
  <c r="L25" i="47"/>
  <c r="EA333" i="5"/>
  <c r="EG276" i="5"/>
  <c r="E9" i="53"/>
  <c r="C8" i="54"/>
  <c r="F8" i="53"/>
  <c r="C7" i="54"/>
  <c r="F7" i="53"/>
  <c r="O16" i="53"/>
  <c r="O25" i="53"/>
  <c r="F5" i="53"/>
  <c r="C5" i="54"/>
  <c r="L16" i="53"/>
  <c r="L25" i="53"/>
  <c r="ED187" i="5"/>
  <c r="EG177" i="5"/>
  <c r="EG187" i="5" s="1"/>
  <c r="ED313" i="5"/>
  <c r="EG307" i="5"/>
  <c r="EG313" i="5" s="1"/>
  <c r="ED150" i="5"/>
  <c r="EG144" i="5"/>
  <c r="EG150" i="5" s="1"/>
  <c r="ED23" i="5"/>
  <c r="EG12" i="5"/>
  <c r="EG23" i="5" s="1"/>
  <c r="ED163" i="5"/>
  <c r="EG159" i="5"/>
  <c r="EG163" i="5" s="1"/>
  <c r="ED195" i="5"/>
  <c r="EG189" i="5"/>
  <c r="EG195" i="5" s="1"/>
  <c r="ED199" i="5"/>
  <c r="EG198" i="5"/>
  <c r="EG199" i="5" s="1"/>
  <c r="ED25" i="5"/>
  <c r="EG14" i="5"/>
  <c r="EG25" i="5" s="1"/>
  <c r="R12" i="52"/>
  <c r="R14" i="52" s="1"/>
  <c r="R12" i="53"/>
  <c r="R14" i="53" s="1"/>
  <c r="EG294" i="5"/>
  <c r="ED225" i="5"/>
  <c r="EG220" i="5"/>
  <c r="EG225" i="5" s="1"/>
  <c r="ED306" i="5"/>
  <c r="EG303" i="5"/>
  <c r="EG306" i="5" s="1"/>
  <c r="X13" i="52"/>
  <c r="X13" i="53"/>
  <c r="ED8" i="5"/>
  <c r="EG5" i="5"/>
  <c r="EG8" i="5" s="1"/>
  <c r="ED143" i="5"/>
  <c r="EG140" i="5"/>
  <c r="EG143" i="5" s="1"/>
  <c r="ED162" i="5"/>
  <c r="EG155" i="5"/>
  <c r="EG162" i="5" s="1"/>
  <c r="ED68" i="5"/>
  <c r="EG61" i="5"/>
  <c r="EG68" i="5" s="1"/>
  <c r="ED31" i="5"/>
  <c r="EG26" i="5"/>
  <c r="EG31" i="5" s="1"/>
  <c r="F5" i="51"/>
  <c r="F5" i="52"/>
  <c r="E8" i="51"/>
  <c r="E8" i="52"/>
  <c r="E7" i="51"/>
  <c r="E7" i="52"/>
  <c r="O5" i="51"/>
  <c r="O9" i="51" s="1"/>
  <c r="O16" i="51" s="1"/>
  <c r="O5" i="52"/>
  <c r="O9" i="52" s="1"/>
  <c r="F8" i="51"/>
  <c r="F8" i="52"/>
  <c r="E5" i="51"/>
  <c r="E5" i="52"/>
  <c r="F7" i="51"/>
  <c r="F7" i="52"/>
  <c r="EA335" i="5"/>
  <c r="ED166" i="5"/>
  <c r="ED230" i="5"/>
  <c r="ED294" i="5"/>
  <c r="EA186" i="5"/>
  <c r="R12" i="50"/>
  <c r="R14" i="50" s="1"/>
  <c r="DR337" i="5"/>
  <c r="DR1" i="5" s="1"/>
  <c r="R12" i="51"/>
  <c r="R14" i="51" s="1"/>
  <c r="DX186" i="5"/>
  <c r="DE22" i="4"/>
  <c r="R5" i="53" s="1"/>
  <c r="R9" i="53" s="1"/>
  <c r="DH14" i="4"/>
  <c r="L25" i="51"/>
  <c r="L16" i="51"/>
  <c r="L25" i="50"/>
  <c r="L16" i="50"/>
  <c r="L16" i="48"/>
  <c r="L25" i="49"/>
  <c r="L16" i="49"/>
  <c r="O5" i="49"/>
  <c r="O9" i="49" s="1"/>
  <c r="O5" i="50"/>
  <c r="O9" i="50" s="1"/>
  <c r="F5" i="48"/>
  <c r="F5" i="50"/>
  <c r="F5" i="49"/>
  <c r="F7" i="48"/>
  <c r="F7" i="50"/>
  <c r="F7" i="49"/>
  <c r="E8" i="48"/>
  <c r="E8" i="50"/>
  <c r="E8" i="49"/>
  <c r="DB113" i="4"/>
  <c r="DB1" i="4" s="1"/>
  <c r="E7" i="48"/>
  <c r="E7" i="50"/>
  <c r="E7" i="49"/>
  <c r="O5" i="48"/>
  <c r="O9" i="48" s="1"/>
  <c r="O25" i="48" s="1"/>
  <c r="F8" i="48"/>
  <c r="F8" i="49"/>
  <c r="F8" i="50"/>
  <c r="E5" i="48"/>
  <c r="E5" i="50"/>
  <c r="E5" i="49"/>
  <c r="E8" i="47"/>
  <c r="E8" i="46"/>
  <c r="E5" i="45"/>
  <c r="C6" i="44" s="1"/>
  <c r="E5" i="47"/>
  <c r="E5" i="46"/>
  <c r="E7" i="47"/>
  <c r="E7" i="46"/>
  <c r="F5" i="45"/>
  <c r="D6" i="44" s="1"/>
  <c r="F5" i="47"/>
  <c r="F5" i="46"/>
  <c r="F8" i="45"/>
  <c r="D9" i="44" s="1"/>
  <c r="F8" i="47"/>
  <c r="F8" i="46"/>
  <c r="F7" i="45"/>
  <c r="D8" i="44" s="1"/>
  <c r="F7" i="47"/>
  <c r="F7" i="46"/>
  <c r="E7" i="14"/>
  <c r="C8" i="15" s="1"/>
  <c r="E7" i="45"/>
  <c r="C8" i="44" s="1"/>
  <c r="E8" i="14"/>
  <c r="C9" i="15" s="1"/>
  <c r="E8" i="45"/>
  <c r="C9" i="44" s="1"/>
  <c r="DC335" i="5"/>
  <c r="C13" i="61" s="1"/>
  <c r="DA1" i="5"/>
  <c r="F8" i="14"/>
  <c r="D9" i="15" s="1"/>
  <c r="CS33" i="4"/>
  <c r="F5" i="14"/>
  <c r="CS22" i="4"/>
  <c r="F7" i="14"/>
  <c r="D8" i="15" s="1"/>
  <c r="CS89" i="4"/>
  <c r="DC1" i="5"/>
  <c r="DA333" i="5"/>
  <c r="DA332" i="5"/>
  <c r="DA335" i="5"/>
  <c r="CR113" i="4"/>
  <c r="CP113" i="4"/>
  <c r="E5" i="14"/>
  <c r="C6" i="15" s="1"/>
  <c r="CP115" i="4"/>
  <c r="CS115" i="4" s="1"/>
  <c r="DC333" i="5"/>
  <c r="DC332" i="5"/>
  <c r="C12" i="61" s="1"/>
  <c r="F16" i="15"/>
  <c r="F17" i="15" s="1"/>
  <c r="DX293" i="5" l="1"/>
  <c r="C14" i="61"/>
  <c r="DU337" i="5"/>
  <c r="DU1" i="5" s="1"/>
  <c r="U12" i="52"/>
  <c r="U14" i="52" s="1"/>
  <c r="U12" i="51"/>
  <c r="U14" i="51" s="1"/>
  <c r="C9" i="60"/>
  <c r="C9" i="61"/>
  <c r="C12" i="59"/>
  <c r="C12" i="60"/>
  <c r="C13" i="59"/>
  <c r="C13" i="60"/>
  <c r="DX339" i="5"/>
  <c r="DX332" i="5"/>
  <c r="X12" i="53" s="1"/>
  <c r="X14" i="53" s="1"/>
  <c r="ED333" i="5"/>
  <c r="C9" i="58"/>
  <c r="O25" i="51"/>
  <c r="C9" i="56"/>
  <c r="C9" i="59"/>
  <c r="C13" i="56"/>
  <c r="C13" i="58"/>
  <c r="C12" i="56"/>
  <c r="C12" i="58"/>
  <c r="E9" i="51"/>
  <c r="F9" i="53"/>
  <c r="ED267" i="5"/>
  <c r="EA339" i="5"/>
  <c r="EA293" i="5"/>
  <c r="EA332" i="5" s="1"/>
  <c r="EA337" i="5" s="1"/>
  <c r="EA1" i="5" s="1"/>
  <c r="E9" i="52"/>
  <c r="F9" i="51"/>
  <c r="C9" i="54"/>
  <c r="DE113" i="4"/>
  <c r="DE1" i="4" s="1"/>
  <c r="EG333" i="5"/>
  <c r="ED335" i="5"/>
  <c r="AA13" i="53" s="1"/>
  <c r="F12" i="52"/>
  <c r="C12" i="54"/>
  <c r="F12" i="53"/>
  <c r="R25" i="53"/>
  <c r="R16" i="53"/>
  <c r="E13" i="52"/>
  <c r="E13" i="53"/>
  <c r="F13" i="52"/>
  <c r="F13" i="53"/>
  <c r="C13" i="54"/>
  <c r="E12" i="52"/>
  <c r="E12" i="53"/>
  <c r="ED186" i="5"/>
  <c r="EG335" i="5"/>
  <c r="O16" i="52"/>
  <c r="O25" i="52"/>
  <c r="DH22" i="4"/>
  <c r="DK14" i="4"/>
  <c r="F9" i="52"/>
  <c r="R5" i="51"/>
  <c r="R9" i="51" s="1"/>
  <c r="R25" i="51" s="1"/>
  <c r="R5" i="52"/>
  <c r="R9" i="52" s="1"/>
  <c r="E13" i="50"/>
  <c r="E13" i="51"/>
  <c r="E12" i="50"/>
  <c r="E12" i="51"/>
  <c r="F12" i="50"/>
  <c r="F12" i="51"/>
  <c r="F13" i="50"/>
  <c r="F13" i="51"/>
  <c r="E9" i="48"/>
  <c r="F9" i="49"/>
  <c r="F9" i="50"/>
  <c r="R5" i="50"/>
  <c r="R9" i="50" s="1"/>
  <c r="R25" i="50" s="1"/>
  <c r="O16" i="48"/>
  <c r="O16" i="50"/>
  <c r="O25" i="50"/>
  <c r="O25" i="49"/>
  <c r="O16" i="49"/>
  <c r="E9" i="49"/>
  <c r="E9" i="50"/>
  <c r="F9" i="48"/>
  <c r="F13" i="48"/>
  <c r="F13" i="49"/>
  <c r="E13" i="48"/>
  <c r="E13" i="49"/>
  <c r="F12" i="48"/>
  <c r="F12" i="49"/>
  <c r="E12" i="48"/>
  <c r="E12" i="49"/>
  <c r="F9" i="46"/>
  <c r="F9" i="47"/>
  <c r="H5" i="45"/>
  <c r="F9" i="45"/>
  <c r="C10" i="44"/>
  <c r="F13" i="47"/>
  <c r="F13" i="46"/>
  <c r="F13" i="45"/>
  <c r="E9" i="46"/>
  <c r="F12" i="47"/>
  <c r="F12" i="46"/>
  <c r="E9" i="47"/>
  <c r="C10" i="15"/>
  <c r="E12" i="14"/>
  <c r="C11" i="15" s="1"/>
  <c r="E12" i="47"/>
  <c r="E12" i="46"/>
  <c r="E12" i="45"/>
  <c r="E13" i="14"/>
  <c r="C12" i="15" s="1"/>
  <c r="E13" i="47"/>
  <c r="E13" i="46"/>
  <c r="E13" i="45"/>
  <c r="C12" i="44" s="1"/>
  <c r="H8" i="45"/>
  <c r="E9" i="45"/>
  <c r="H7" i="45"/>
  <c r="D10" i="44"/>
  <c r="F12" i="14"/>
  <c r="D11" i="15" s="1"/>
  <c r="F12" i="45"/>
  <c r="D6" i="15"/>
  <c r="D10" i="15" s="1"/>
  <c r="DD339" i="5"/>
  <c r="CR1" i="4"/>
  <c r="CS113" i="4"/>
  <c r="DA337" i="5"/>
  <c r="DC337" i="5"/>
  <c r="F13" i="14"/>
  <c r="D12" i="15" s="1"/>
  <c r="CG115" i="4"/>
  <c r="CG111" i="4"/>
  <c r="CG89" i="4"/>
  <c r="CG33" i="4"/>
  <c r="CG22" i="4"/>
  <c r="CR188" i="5"/>
  <c r="CS183" i="5"/>
  <c r="CV183" i="5" s="1"/>
  <c r="CY183" i="5" s="1"/>
  <c r="CR329" i="5"/>
  <c r="CR318" i="5"/>
  <c r="CR313" i="5"/>
  <c r="CR306" i="5"/>
  <c r="CR302" i="5"/>
  <c r="CS295" i="5"/>
  <c r="CR295" i="5"/>
  <c r="CR294" i="5"/>
  <c r="CR293" i="5"/>
  <c r="CR260" i="5"/>
  <c r="CR230" i="5"/>
  <c r="CR225" i="5"/>
  <c r="CR224" i="5"/>
  <c r="CR223" i="5"/>
  <c r="CS199" i="5"/>
  <c r="CR199" i="5"/>
  <c r="CR197" i="5"/>
  <c r="CR195" i="5"/>
  <c r="CR187" i="5"/>
  <c r="CR186" i="5"/>
  <c r="CS163" i="5"/>
  <c r="CR163" i="5"/>
  <c r="CR162" i="5"/>
  <c r="CS151" i="5"/>
  <c r="CR151" i="5"/>
  <c r="CR150" i="5"/>
  <c r="CR143" i="5"/>
  <c r="CR142" i="5"/>
  <c r="CR139" i="5"/>
  <c r="CR138" i="5"/>
  <c r="CR131" i="5"/>
  <c r="CR130" i="5"/>
  <c r="CR129" i="5"/>
  <c r="CR121" i="5"/>
  <c r="CR120" i="5"/>
  <c r="CR116" i="5"/>
  <c r="CR115" i="5"/>
  <c r="CR102" i="5"/>
  <c r="CR101" i="5"/>
  <c r="CR87" i="5"/>
  <c r="CR81" i="5"/>
  <c r="CR80" i="5"/>
  <c r="CR69" i="5"/>
  <c r="CR68" i="5"/>
  <c r="CR54" i="5"/>
  <c r="CR43" i="5"/>
  <c r="CR37" i="5"/>
  <c r="CR31" i="5"/>
  <c r="CR25" i="5"/>
  <c r="CR24" i="5"/>
  <c r="CR23" i="5"/>
  <c r="CR8" i="5"/>
  <c r="CD115" i="4"/>
  <c r="CD111" i="4"/>
  <c r="CD89" i="4"/>
  <c r="CD33" i="4"/>
  <c r="CD22" i="4"/>
  <c r="CO260" i="5"/>
  <c r="CP239" i="5"/>
  <c r="CS239" i="5" s="1"/>
  <c r="CV239" i="5" s="1"/>
  <c r="CP202" i="5"/>
  <c r="CS202" i="5" s="1"/>
  <c r="CV202" i="5" s="1"/>
  <c r="CY202" i="5" s="1"/>
  <c r="CO69" i="5"/>
  <c r="CO68" i="5"/>
  <c r="CP65" i="5"/>
  <c r="CP69" i="5" s="1"/>
  <c r="CO329" i="5"/>
  <c r="CO318" i="5"/>
  <c r="CO313" i="5"/>
  <c r="CO306" i="5"/>
  <c r="CO302" i="5"/>
  <c r="CP295" i="5"/>
  <c r="CO295" i="5"/>
  <c r="CO294" i="5"/>
  <c r="CO293" i="5"/>
  <c r="CO230" i="5"/>
  <c r="CO225" i="5"/>
  <c r="CO224" i="5"/>
  <c r="CO223" i="5"/>
  <c r="CP199" i="5"/>
  <c r="CO199" i="5"/>
  <c r="CO197" i="5"/>
  <c r="CO195" i="5"/>
  <c r="CO188" i="5"/>
  <c r="CO187" i="5"/>
  <c r="CO186" i="5"/>
  <c r="CP163" i="5"/>
  <c r="CO163" i="5"/>
  <c r="CO162" i="5"/>
  <c r="CP151" i="5"/>
  <c r="CO151" i="5"/>
  <c r="CO150" i="5"/>
  <c r="CO143" i="5"/>
  <c r="CO142" i="5"/>
  <c r="CO139" i="5"/>
  <c r="CO138" i="5"/>
  <c r="CO131" i="5"/>
  <c r="CO130" i="5"/>
  <c r="CO129" i="5"/>
  <c r="CO121" i="5"/>
  <c r="CO120" i="5"/>
  <c r="CO116" i="5"/>
  <c r="CO115" i="5"/>
  <c r="CO102" i="5"/>
  <c r="CO101" i="5"/>
  <c r="CO87" i="5"/>
  <c r="CO81" i="5"/>
  <c r="CO80" i="5"/>
  <c r="CO54" i="5"/>
  <c r="CO43" i="5"/>
  <c r="CO37" i="5"/>
  <c r="CO31" i="5"/>
  <c r="CO25" i="5"/>
  <c r="CO24" i="5"/>
  <c r="CO23" i="5"/>
  <c r="CO8" i="5"/>
  <c r="CM124" i="5"/>
  <c r="CP124" i="5" s="1"/>
  <c r="CS124" i="5" s="1"/>
  <c r="CV124" i="5" s="1"/>
  <c r="CY124" i="5" s="1"/>
  <c r="CM17" i="5"/>
  <c r="CP17" i="5" s="1"/>
  <c r="CS17" i="5" s="1"/>
  <c r="CV17" i="5" s="1"/>
  <c r="CY17" i="5" s="1"/>
  <c r="CL329" i="5"/>
  <c r="CL318" i="5"/>
  <c r="CL313" i="5"/>
  <c r="CL306" i="5"/>
  <c r="CL302" i="5"/>
  <c r="CM295" i="5"/>
  <c r="CL295" i="5"/>
  <c r="CL294" i="5"/>
  <c r="CL293" i="5"/>
  <c r="CL260" i="5"/>
  <c r="CL230" i="5"/>
  <c r="CL225" i="5"/>
  <c r="CL224" i="5"/>
  <c r="CL223" i="5"/>
  <c r="CM199" i="5"/>
  <c r="CL199" i="5"/>
  <c r="CL197" i="5"/>
  <c r="CL195" i="5"/>
  <c r="CL188" i="5"/>
  <c r="CL187" i="5"/>
  <c r="CL186" i="5"/>
  <c r="CM163" i="5"/>
  <c r="CL163" i="5"/>
  <c r="CL162" i="5"/>
  <c r="CM151" i="5"/>
  <c r="CL151" i="5"/>
  <c r="CL150" i="5"/>
  <c r="CL143" i="5"/>
  <c r="CL142" i="5"/>
  <c r="CL139" i="5"/>
  <c r="CL138" i="5"/>
  <c r="CL131" i="5"/>
  <c r="CL130" i="5"/>
  <c r="CL129" i="5"/>
  <c r="CL121" i="5"/>
  <c r="CL120" i="5"/>
  <c r="CL116" i="5"/>
  <c r="CL115" i="5"/>
  <c r="CL102" i="5"/>
  <c r="CL101" i="5"/>
  <c r="CL87" i="5"/>
  <c r="CL81" i="5"/>
  <c r="CL80" i="5"/>
  <c r="CL68" i="5"/>
  <c r="CL54" i="5"/>
  <c r="CL43" i="5"/>
  <c r="CL37" i="5"/>
  <c r="CL31" i="5"/>
  <c r="CL25" i="5"/>
  <c r="CL24" i="5"/>
  <c r="CL23" i="5"/>
  <c r="CL8" i="5"/>
  <c r="CI329" i="5"/>
  <c r="CI318" i="5"/>
  <c r="CI313" i="5"/>
  <c r="CI306" i="5"/>
  <c r="CI302" i="5"/>
  <c r="CJ295" i="5"/>
  <c r="CI295" i="5"/>
  <c r="CI294" i="5"/>
  <c r="CI293" i="5"/>
  <c r="CI260" i="5"/>
  <c r="CI230" i="5"/>
  <c r="CI225" i="5"/>
  <c r="CI224" i="5"/>
  <c r="CI223" i="5"/>
  <c r="CJ199" i="5"/>
  <c r="CI199" i="5"/>
  <c r="CI197" i="5"/>
  <c r="CI195" i="5"/>
  <c r="CI188" i="5"/>
  <c r="CI187" i="5"/>
  <c r="CI186" i="5"/>
  <c r="CJ163" i="5"/>
  <c r="CI163" i="5"/>
  <c r="CI162" i="5"/>
  <c r="CJ151" i="5"/>
  <c r="CI151" i="5"/>
  <c r="CI150" i="5"/>
  <c r="CI143" i="5"/>
  <c r="CI142" i="5"/>
  <c r="CI139" i="5"/>
  <c r="CI138" i="5"/>
  <c r="CI131" i="5"/>
  <c r="CI130" i="5"/>
  <c r="CI129" i="5"/>
  <c r="CI121" i="5"/>
  <c r="CI120" i="5"/>
  <c r="CI116" i="5"/>
  <c r="CI115" i="5"/>
  <c r="CI102" i="5"/>
  <c r="CI101" i="5"/>
  <c r="CI87" i="5"/>
  <c r="CI81" i="5"/>
  <c r="CI80" i="5"/>
  <c r="CI68" i="5"/>
  <c r="CI54" i="5"/>
  <c r="CI43" i="5"/>
  <c r="CI37" i="5"/>
  <c r="CI31" i="5"/>
  <c r="CI25" i="5"/>
  <c r="CI24" i="5"/>
  <c r="CI23" i="5"/>
  <c r="CI8" i="5"/>
  <c r="CA115" i="4"/>
  <c r="CA111" i="4"/>
  <c r="CA89" i="4"/>
  <c r="CA33" i="4"/>
  <c r="CA22" i="4"/>
  <c r="CF329" i="5"/>
  <c r="CG321" i="5"/>
  <c r="CJ321" i="5" s="1"/>
  <c r="CM321" i="5" s="1"/>
  <c r="CP321" i="5" s="1"/>
  <c r="CS321" i="5" s="1"/>
  <c r="CV321" i="5" s="1"/>
  <c r="CY321" i="5" s="1"/>
  <c r="CG182" i="5"/>
  <c r="CJ182" i="5" s="1"/>
  <c r="CM182" i="5" s="1"/>
  <c r="CP182" i="5" s="1"/>
  <c r="CS182" i="5" s="1"/>
  <c r="CV182" i="5" s="1"/>
  <c r="CY182" i="5" s="1"/>
  <c r="CF188" i="5"/>
  <c r="CG173" i="5"/>
  <c r="CJ173" i="5" s="1"/>
  <c r="CM173" i="5" s="1"/>
  <c r="CP173" i="5" s="1"/>
  <c r="CS173" i="5" s="1"/>
  <c r="CV173" i="5" s="1"/>
  <c r="CY173" i="5" s="1"/>
  <c r="CF318" i="5"/>
  <c r="CF313" i="5"/>
  <c r="CF306" i="5"/>
  <c r="CF302" i="5"/>
  <c r="CG295" i="5"/>
  <c r="CF295" i="5"/>
  <c r="CF294" i="5"/>
  <c r="CF293" i="5"/>
  <c r="CF260" i="5"/>
  <c r="CF230" i="5"/>
  <c r="CF225" i="5"/>
  <c r="CF224" i="5"/>
  <c r="CF223" i="5"/>
  <c r="CG199" i="5"/>
  <c r="CF199" i="5"/>
  <c r="CF197" i="5"/>
  <c r="CF195" i="5"/>
  <c r="CF187" i="5"/>
  <c r="CF186" i="5"/>
  <c r="CG163" i="5"/>
  <c r="CF163" i="5"/>
  <c r="CF162" i="5"/>
  <c r="CG151" i="5"/>
  <c r="CF151" i="5"/>
  <c r="CF150" i="5"/>
  <c r="CF143" i="5"/>
  <c r="CF142" i="5"/>
  <c r="CF139" i="5"/>
  <c r="CF138" i="5"/>
  <c r="CF131" i="5"/>
  <c r="CF130" i="5"/>
  <c r="CF129" i="5"/>
  <c r="CF121" i="5"/>
  <c r="CF120" i="5"/>
  <c r="CF116" i="5"/>
  <c r="CF115" i="5"/>
  <c r="CF102" i="5"/>
  <c r="CF101" i="5"/>
  <c r="CF87" i="5"/>
  <c r="CF81" i="5"/>
  <c r="CF80" i="5"/>
  <c r="CF68" i="5"/>
  <c r="CF54" i="5"/>
  <c r="CF43" i="5"/>
  <c r="CF37" i="5"/>
  <c r="CF31" i="5"/>
  <c r="CF25" i="5"/>
  <c r="CF24" i="5"/>
  <c r="CF23" i="5"/>
  <c r="CF8" i="5"/>
  <c r="BY31" i="4"/>
  <c r="CB31" i="4" s="1"/>
  <c r="CE31" i="4" s="1"/>
  <c r="CH31" i="4" s="1"/>
  <c r="CK31" i="4" s="1"/>
  <c r="CN31" i="4" s="1"/>
  <c r="BX115" i="4"/>
  <c r="BX111" i="4"/>
  <c r="BX89" i="4"/>
  <c r="BX33" i="4"/>
  <c r="BX22" i="4"/>
  <c r="CC329" i="5"/>
  <c r="CC318" i="5"/>
  <c r="CC313" i="5"/>
  <c r="CC306" i="5"/>
  <c r="CC302" i="5"/>
  <c r="CD295" i="5"/>
  <c r="CC295" i="5"/>
  <c r="CC294" i="5"/>
  <c r="CC293" i="5"/>
  <c r="CC260" i="5"/>
  <c r="CC230" i="5"/>
  <c r="CC225" i="5"/>
  <c r="CC224" i="5"/>
  <c r="CC223" i="5"/>
  <c r="CD199" i="5"/>
  <c r="CC199" i="5"/>
  <c r="CC197" i="5"/>
  <c r="CC195" i="5"/>
  <c r="CC188" i="5"/>
  <c r="CC187" i="5"/>
  <c r="CC186" i="5"/>
  <c r="CD163" i="5"/>
  <c r="CC163" i="5"/>
  <c r="CC162" i="5"/>
  <c r="CD151" i="5"/>
  <c r="CC151" i="5"/>
  <c r="CC150" i="5"/>
  <c r="CC143" i="5"/>
  <c r="CC142" i="5"/>
  <c r="CC139" i="5"/>
  <c r="CC138" i="5"/>
  <c r="CC131" i="5"/>
  <c r="CC130" i="5"/>
  <c r="CC129" i="5"/>
  <c r="CC121" i="5"/>
  <c r="CC120" i="5"/>
  <c r="CC116" i="5"/>
  <c r="CC115" i="5"/>
  <c r="CC102" i="5"/>
  <c r="CC101" i="5"/>
  <c r="CC87" i="5"/>
  <c r="CC81" i="5"/>
  <c r="CC80" i="5"/>
  <c r="CC68" i="5"/>
  <c r="CC54" i="5"/>
  <c r="CC43" i="5"/>
  <c r="CC37" i="5"/>
  <c r="CC31" i="5"/>
  <c r="CC25" i="5"/>
  <c r="CC24" i="5"/>
  <c r="CC23" i="5"/>
  <c r="CC8" i="5"/>
  <c r="BU22" i="4"/>
  <c r="BU115" i="4"/>
  <c r="BU111" i="4"/>
  <c r="BU89" i="4"/>
  <c r="BU33" i="4"/>
  <c r="CA96" i="5"/>
  <c r="CD96" i="5" s="1"/>
  <c r="CG96" i="5" s="1"/>
  <c r="CJ96" i="5" s="1"/>
  <c r="CM96" i="5" s="1"/>
  <c r="CP96" i="5" s="1"/>
  <c r="CS96" i="5" s="1"/>
  <c r="CV96" i="5" s="1"/>
  <c r="CY96" i="5" s="1"/>
  <c r="BZ93" i="5"/>
  <c r="BZ101" i="5" s="1"/>
  <c r="BZ329" i="5"/>
  <c r="BZ318" i="5"/>
  <c r="BZ313" i="5"/>
  <c r="BZ306" i="5"/>
  <c r="BZ302" i="5"/>
  <c r="CA295" i="5"/>
  <c r="BZ295" i="5"/>
  <c r="BZ294" i="5"/>
  <c r="BZ293" i="5"/>
  <c r="BZ260" i="5"/>
  <c r="BZ230" i="5"/>
  <c r="BZ225" i="5"/>
  <c r="BZ224" i="5"/>
  <c r="BZ223" i="5"/>
  <c r="CA199" i="5"/>
  <c r="BZ199" i="5"/>
  <c r="BZ197" i="5"/>
  <c r="BZ195" i="5"/>
  <c r="BZ188" i="5"/>
  <c r="BZ187" i="5"/>
  <c r="BZ186" i="5"/>
  <c r="CA163" i="5"/>
  <c r="BZ163" i="5"/>
  <c r="BZ162" i="5"/>
  <c r="CA151" i="5"/>
  <c r="BZ151" i="5"/>
  <c r="BZ150" i="5"/>
  <c r="BZ143" i="5"/>
  <c r="BZ142" i="5"/>
  <c r="BZ139" i="5"/>
  <c r="BZ138" i="5"/>
  <c r="BZ131" i="5"/>
  <c r="BZ130" i="5"/>
  <c r="BZ129" i="5"/>
  <c r="BZ121" i="5"/>
  <c r="BZ120" i="5"/>
  <c r="BZ116" i="5"/>
  <c r="BZ115" i="5"/>
  <c r="BZ102" i="5"/>
  <c r="BZ87" i="5"/>
  <c r="BZ81" i="5"/>
  <c r="BZ80" i="5"/>
  <c r="BZ68" i="5"/>
  <c r="BZ54" i="5"/>
  <c r="BZ43" i="5"/>
  <c r="BZ37" i="5"/>
  <c r="BZ31" i="5"/>
  <c r="BZ25" i="5"/>
  <c r="BZ24" i="5"/>
  <c r="BZ23" i="5"/>
  <c r="BZ8" i="5"/>
  <c r="BW329" i="5"/>
  <c r="BW318" i="5"/>
  <c r="BW313" i="5"/>
  <c r="BW306" i="5"/>
  <c r="BW302" i="5"/>
  <c r="BX295" i="5"/>
  <c r="BW295" i="5"/>
  <c r="BW294" i="5"/>
  <c r="BW293" i="5"/>
  <c r="BW260" i="5"/>
  <c r="BW230" i="5"/>
  <c r="BW225" i="5"/>
  <c r="BW224" i="5"/>
  <c r="BW223" i="5"/>
  <c r="BX199" i="5"/>
  <c r="BW199" i="5"/>
  <c r="BW197" i="5"/>
  <c r="BW195" i="5"/>
  <c r="BW188" i="5"/>
  <c r="BW187" i="5"/>
  <c r="BW186" i="5"/>
  <c r="BX163" i="5"/>
  <c r="BW163" i="5"/>
  <c r="BW162" i="5"/>
  <c r="BX151" i="5"/>
  <c r="BW151" i="5"/>
  <c r="BW150" i="5"/>
  <c r="BW143" i="5"/>
  <c r="BW142" i="5"/>
  <c r="BW139" i="5"/>
  <c r="BW138" i="5"/>
  <c r="BW131" i="5"/>
  <c r="BW130" i="5"/>
  <c r="BW129" i="5"/>
  <c r="BW121" i="5"/>
  <c r="BW120" i="5"/>
  <c r="BW116" i="5"/>
  <c r="BW115" i="5"/>
  <c r="BW102" i="5"/>
  <c r="BW101" i="5"/>
  <c r="BW87" i="5"/>
  <c r="BW81" i="5"/>
  <c r="BW80" i="5"/>
  <c r="BW68" i="5"/>
  <c r="BW54" i="5"/>
  <c r="BW43" i="5"/>
  <c r="BW37" i="5"/>
  <c r="BW31" i="5"/>
  <c r="BW25" i="5"/>
  <c r="BW24" i="5"/>
  <c r="BW23" i="5"/>
  <c r="BW8" i="5"/>
  <c r="C16" i="61" l="1"/>
  <c r="C27" i="61"/>
  <c r="C14" i="59"/>
  <c r="C16" i="59" s="1"/>
  <c r="C14" i="60"/>
  <c r="C16" i="60" s="1"/>
  <c r="X12" i="52"/>
  <c r="X14" i="52" s="1"/>
  <c r="C14" i="56"/>
  <c r="C16" i="56" s="1"/>
  <c r="DX337" i="5"/>
  <c r="DX1" i="5" s="1"/>
  <c r="C14" i="58"/>
  <c r="C27" i="58" s="1"/>
  <c r="EG267" i="5"/>
  <c r="ED293" i="5"/>
  <c r="ED332" i="5" s="1"/>
  <c r="ED337" i="5" s="1"/>
  <c r="ED1" i="5" s="1"/>
  <c r="ED339" i="5"/>
  <c r="R16" i="51"/>
  <c r="U5" i="52"/>
  <c r="U9" i="52" s="1"/>
  <c r="U25" i="52" s="1"/>
  <c r="U5" i="53"/>
  <c r="U9" i="53" s="1"/>
  <c r="E14" i="52"/>
  <c r="E25" i="52" s="1"/>
  <c r="F14" i="52"/>
  <c r="F25" i="52" s="1"/>
  <c r="E14" i="53"/>
  <c r="F14" i="53"/>
  <c r="C14" i="54"/>
  <c r="R25" i="52"/>
  <c r="R16" i="52"/>
  <c r="U5" i="51"/>
  <c r="U9" i="51" s="1"/>
  <c r="U25" i="51" s="1"/>
  <c r="DH113" i="4"/>
  <c r="DH1" i="4" s="1"/>
  <c r="DN14" i="4"/>
  <c r="DK22" i="4"/>
  <c r="X5" i="53" s="1"/>
  <c r="X9" i="53" s="1"/>
  <c r="X16" i="53" s="1"/>
  <c r="F14" i="50"/>
  <c r="F16" i="50" s="1"/>
  <c r="E14" i="50"/>
  <c r="E25" i="50" s="1"/>
  <c r="F14" i="51"/>
  <c r="E14" i="51"/>
  <c r="R16" i="50"/>
  <c r="H9" i="45"/>
  <c r="E14" i="48"/>
  <c r="E16" i="48" s="1"/>
  <c r="E14" i="49"/>
  <c r="E16" i="49" s="1"/>
  <c r="F14" i="49"/>
  <c r="F14" i="48"/>
  <c r="C13" i="15"/>
  <c r="C17" i="15" s="1"/>
  <c r="F14" i="46"/>
  <c r="F25" i="46" s="1"/>
  <c r="F14" i="47"/>
  <c r="F16" i="47" s="1"/>
  <c r="D12" i="44"/>
  <c r="H13" i="45"/>
  <c r="E14" i="45"/>
  <c r="E16" i="45" s="1"/>
  <c r="C11" i="44"/>
  <c r="C13" i="44" s="1"/>
  <c r="C17" i="44" s="1"/>
  <c r="E14" i="46"/>
  <c r="E16" i="46" s="1"/>
  <c r="E14" i="47"/>
  <c r="E16" i="47" s="1"/>
  <c r="D11" i="44"/>
  <c r="H12" i="45"/>
  <c r="F14" i="45"/>
  <c r="D13" i="15"/>
  <c r="D17" i="15" s="1"/>
  <c r="CA113" i="4"/>
  <c r="CG113" i="4"/>
  <c r="CG1" i="4" s="1"/>
  <c r="CY239" i="5"/>
  <c r="CS65" i="5"/>
  <c r="CO335" i="5"/>
  <c r="CR333" i="5"/>
  <c r="CR1" i="5"/>
  <c r="CR332" i="5"/>
  <c r="CR335" i="5"/>
  <c r="CD113" i="4"/>
  <c r="CD1" i="4" s="1"/>
  <c r="CO1" i="5"/>
  <c r="CO333" i="5"/>
  <c r="CO332" i="5"/>
  <c r="CL1" i="5"/>
  <c r="CL333" i="5"/>
  <c r="CL335" i="5"/>
  <c r="CL332" i="5"/>
  <c r="CI335" i="5"/>
  <c r="CI332" i="5"/>
  <c r="CI333" i="5"/>
  <c r="CI1" i="5"/>
  <c r="BZ333" i="5"/>
  <c r="CF333" i="5"/>
  <c r="CF332" i="5"/>
  <c r="CC335" i="5"/>
  <c r="CF335" i="5"/>
  <c r="CF1" i="5"/>
  <c r="BX113" i="4"/>
  <c r="CC1" i="5"/>
  <c r="CC332" i="5"/>
  <c r="CC333" i="5"/>
  <c r="BU113" i="4"/>
  <c r="BZ335" i="5"/>
  <c r="BZ332" i="5"/>
  <c r="BZ1" i="5"/>
  <c r="BW335" i="5"/>
  <c r="BW333" i="5"/>
  <c r="BW332" i="5"/>
  <c r="BW1" i="5"/>
  <c r="BR111" i="4"/>
  <c r="BR115" i="4"/>
  <c r="BS86" i="4"/>
  <c r="BV86" i="4" s="1"/>
  <c r="BY86" i="4" s="1"/>
  <c r="CB86" i="4" s="1"/>
  <c r="CE86" i="4" s="1"/>
  <c r="CH86" i="4" s="1"/>
  <c r="CK86" i="4" s="1"/>
  <c r="CN86" i="4" s="1"/>
  <c r="BR89" i="4"/>
  <c r="BS105" i="4"/>
  <c r="BV105" i="4" s="1"/>
  <c r="BY105" i="4" s="1"/>
  <c r="CB105" i="4" s="1"/>
  <c r="BS101" i="4"/>
  <c r="BV101" i="4" s="1"/>
  <c r="BY101" i="4" s="1"/>
  <c r="CB101" i="4" s="1"/>
  <c r="CE101" i="4" s="1"/>
  <c r="CH101" i="4" s="1"/>
  <c r="CK101" i="4" s="1"/>
  <c r="CN101" i="4" s="1"/>
  <c r="BS100" i="4"/>
  <c r="BV100" i="4" s="1"/>
  <c r="BY100" i="4" s="1"/>
  <c r="CB100" i="4" s="1"/>
  <c r="CE100" i="4" s="1"/>
  <c r="CH100" i="4" s="1"/>
  <c r="CK100" i="4" s="1"/>
  <c r="CN100" i="4" s="1"/>
  <c r="BS96" i="4"/>
  <c r="BV96" i="4" s="1"/>
  <c r="BY96" i="4" s="1"/>
  <c r="CB96" i="4" s="1"/>
  <c r="CE96" i="4" s="1"/>
  <c r="CH96" i="4" s="1"/>
  <c r="CK96" i="4" s="1"/>
  <c r="CN96" i="4" s="1"/>
  <c r="BS95" i="4"/>
  <c r="BV95" i="4" s="1"/>
  <c r="BY95" i="4" s="1"/>
  <c r="CB95" i="4" s="1"/>
  <c r="CE95" i="4" s="1"/>
  <c r="CH95" i="4" s="1"/>
  <c r="CK95" i="4" s="1"/>
  <c r="CN95" i="4" s="1"/>
  <c r="BS87" i="4"/>
  <c r="BV87" i="4" s="1"/>
  <c r="BY87" i="4" s="1"/>
  <c r="CB87" i="4" s="1"/>
  <c r="BS84" i="4"/>
  <c r="BV84" i="4" s="1"/>
  <c r="BY84" i="4" s="1"/>
  <c r="CB84" i="4" s="1"/>
  <c r="CE84" i="4" s="1"/>
  <c r="CH84" i="4" s="1"/>
  <c r="CK84" i="4" s="1"/>
  <c r="CN84" i="4" s="1"/>
  <c r="BS83" i="4"/>
  <c r="BV83" i="4" s="1"/>
  <c r="BY83" i="4" s="1"/>
  <c r="BS82" i="4"/>
  <c r="BV82" i="4" s="1"/>
  <c r="BY82" i="4" s="1"/>
  <c r="CB82" i="4" s="1"/>
  <c r="CE82" i="4" s="1"/>
  <c r="CH82" i="4" s="1"/>
  <c r="CK82" i="4" s="1"/>
  <c r="CN82" i="4" s="1"/>
  <c r="BS81" i="4"/>
  <c r="BV81" i="4" s="1"/>
  <c r="BY81" i="4" s="1"/>
  <c r="CB81" i="4" s="1"/>
  <c r="CE81" i="4" s="1"/>
  <c r="CH81" i="4" s="1"/>
  <c r="CK81" i="4" s="1"/>
  <c r="CN81" i="4" s="1"/>
  <c r="BS80" i="4"/>
  <c r="BV80" i="4" s="1"/>
  <c r="BY80" i="4" s="1"/>
  <c r="CB80" i="4" s="1"/>
  <c r="CE80" i="4" s="1"/>
  <c r="CH80" i="4" s="1"/>
  <c r="CK80" i="4" s="1"/>
  <c r="CN80" i="4" s="1"/>
  <c r="BS79" i="4"/>
  <c r="BV79" i="4" s="1"/>
  <c r="BY79" i="4" s="1"/>
  <c r="CB79" i="4" s="1"/>
  <c r="CE79" i="4" s="1"/>
  <c r="CH79" i="4" s="1"/>
  <c r="CK79" i="4" s="1"/>
  <c r="CN79" i="4" s="1"/>
  <c r="BS66" i="4"/>
  <c r="BV66" i="4" s="1"/>
  <c r="BY66" i="4" s="1"/>
  <c r="CB66" i="4" s="1"/>
  <c r="CE66" i="4" s="1"/>
  <c r="CH66" i="4" s="1"/>
  <c r="CK66" i="4" s="1"/>
  <c r="CN66" i="4" s="1"/>
  <c r="BS61" i="4"/>
  <c r="BV61" i="4" s="1"/>
  <c r="BY61" i="4" s="1"/>
  <c r="CB61" i="4" s="1"/>
  <c r="CE61" i="4" s="1"/>
  <c r="CH61" i="4" s="1"/>
  <c r="CK61" i="4" s="1"/>
  <c r="CN61" i="4" s="1"/>
  <c r="BS57" i="4"/>
  <c r="BV57" i="4" s="1"/>
  <c r="BY57" i="4" s="1"/>
  <c r="CB57" i="4" s="1"/>
  <c r="CE57" i="4" s="1"/>
  <c r="CH57" i="4" s="1"/>
  <c r="CK57" i="4" s="1"/>
  <c r="CN57" i="4" s="1"/>
  <c r="BS56" i="4"/>
  <c r="BV56" i="4" s="1"/>
  <c r="BY56" i="4" s="1"/>
  <c r="BS38" i="4"/>
  <c r="BV38" i="4" s="1"/>
  <c r="BY38" i="4" s="1"/>
  <c r="CB38" i="4" s="1"/>
  <c r="CE38" i="4" s="1"/>
  <c r="CH38" i="4" s="1"/>
  <c r="CK38" i="4" s="1"/>
  <c r="CN38" i="4" s="1"/>
  <c r="BS35" i="4"/>
  <c r="BV35" i="4" s="1"/>
  <c r="BY35" i="4" s="1"/>
  <c r="CB35" i="4" s="1"/>
  <c r="CE35" i="4" s="1"/>
  <c r="CH35" i="4" s="1"/>
  <c r="CK35" i="4" s="1"/>
  <c r="CN35" i="4" s="1"/>
  <c r="BR33" i="4"/>
  <c r="BS30" i="4"/>
  <c r="BV30" i="4" s="1"/>
  <c r="BY30" i="4" s="1"/>
  <c r="CB30" i="4" s="1"/>
  <c r="CE30" i="4" s="1"/>
  <c r="CH30" i="4" s="1"/>
  <c r="CK30" i="4" s="1"/>
  <c r="CN30" i="4" s="1"/>
  <c r="BS29" i="4"/>
  <c r="BV29" i="4" s="1"/>
  <c r="BY29" i="4" s="1"/>
  <c r="CB29" i="4" s="1"/>
  <c r="CE29" i="4" s="1"/>
  <c r="CH29" i="4" s="1"/>
  <c r="CK29" i="4" s="1"/>
  <c r="CN29" i="4" s="1"/>
  <c r="BS28" i="4"/>
  <c r="BV28" i="4" s="1"/>
  <c r="BY28" i="4" s="1"/>
  <c r="CB28" i="4" s="1"/>
  <c r="CE28" i="4" s="1"/>
  <c r="CH28" i="4" s="1"/>
  <c r="CK28" i="4" s="1"/>
  <c r="CN28" i="4" s="1"/>
  <c r="BS27" i="4"/>
  <c r="BV27" i="4" s="1"/>
  <c r="BY27" i="4" s="1"/>
  <c r="CB27" i="4" s="1"/>
  <c r="CE27" i="4" s="1"/>
  <c r="CH27" i="4" s="1"/>
  <c r="CK27" i="4" s="1"/>
  <c r="CN27" i="4" s="1"/>
  <c r="BS24" i="4"/>
  <c r="BR22" i="4"/>
  <c r="BS6" i="4"/>
  <c r="BV6" i="4" s="1"/>
  <c r="BY6" i="4" s="1"/>
  <c r="CB6" i="4" s="1"/>
  <c r="CE6" i="4" s="1"/>
  <c r="CH6" i="4" s="1"/>
  <c r="CK6" i="4" s="1"/>
  <c r="CN6" i="4" s="1"/>
  <c r="BS7" i="4"/>
  <c r="BV7" i="4" s="1"/>
  <c r="BY7" i="4" s="1"/>
  <c r="CB7" i="4" s="1"/>
  <c r="CE7" i="4" s="1"/>
  <c r="CH7" i="4" s="1"/>
  <c r="CK7" i="4" s="1"/>
  <c r="CN7" i="4" s="1"/>
  <c r="BS8" i="4"/>
  <c r="BV8" i="4" s="1"/>
  <c r="BY8" i="4" s="1"/>
  <c r="CB8" i="4" s="1"/>
  <c r="CE8" i="4" s="1"/>
  <c r="CH8" i="4" s="1"/>
  <c r="CK8" i="4" s="1"/>
  <c r="CN8" i="4" s="1"/>
  <c r="BS9" i="4"/>
  <c r="BV9" i="4" s="1"/>
  <c r="BY9" i="4" s="1"/>
  <c r="CB9" i="4" s="1"/>
  <c r="CE9" i="4" s="1"/>
  <c r="CH9" i="4" s="1"/>
  <c r="CK9" i="4" s="1"/>
  <c r="CN9" i="4" s="1"/>
  <c r="BS10" i="4"/>
  <c r="BV10" i="4" s="1"/>
  <c r="BY10" i="4" s="1"/>
  <c r="CB10" i="4" s="1"/>
  <c r="CE10" i="4" s="1"/>
  <c r="CH10" i="4" s="1"/>
  <c r="CK10" i="4" s="1"/>
  <c r="CN10" i="4" s="1"/>
  <c r="BS11" i="4"/>
  <c r="BS14" i="4"/>
  <c r="BV14" i="4" s="1"/>
  <c r="BY14" i="4" s="1"/>
  <c r="CB14" i="4" s="1"/>
  <c r="CE14" i="4" s="1"/>
  <c r="CH14" i="4" s="1"/>
  <c r="CK14" i="4" s="1"/>
  <c r="CN14" i="4" s="1"/>
  <c r="BS12" i="4"/>
  <c r="BV12" i="4" s="1"/>
  <c r="BY12" i="4" s="1"/>
  <c r="CB12" i="4" s="1"/>
  <c r="CE12" i="4" s="1"/>
  <c r="CH12" i="4" s="1"/>
  <c r="CK12" i="4" s="1"/>
  <c r="CN12" i="4" s="1"/>
  <c r="BS13" i="4"/>
  <c r="BV13" i="4" s="1"/>
  <c r="BY13" i="4" s="1"/>
  <c r="CB13" i="4" s="1"/>
  <c r="CE13" i="4" s="1"/>
  <c r="CH13" i="4" s="1"/>
  <c r="CK13" i="4" s="1"/>
  <c r="CN13" i="4" s="1"/>
  <c r="BS15" i="4"/>
  <c r="BV15" i="4" s="1"/>
  <c r="BY15" i="4" s="1"/>
  <c r="CB15" i="4" s="1"/>
  <c r="CE15" i="4" s="1"/>
  <c r="CH15" i="4" s="1"/>
  <c r="CK15" i="4" s="1"/>
  <c r="CN15" i="4" s="1"/>
  <c r="BS16" i="4"/>
  <c r="BV16" i="4" s="1"/>
  <c r="BY16" i="4" s="1"/>
  <c r="CB16" i="4" s="1"/>
  <c r="CE16" i="4" s="1"/>
  <c r="CH16" i="4" s="1"/>
  <c r="CK16" i="4" s="1"/>
  <c r="CN16" i="4" s="1"/>
  <c r="BS18" i="4"/>
  <c r="BV18" i="4" s="1"/>
  <c r="BY18" i="4" s="1"/>
  <c r="CB18" i="4" s="1"/>
  <c r="CE18" i="4" s="1"/>
  <c r="CH18" i="4" s="1"/>
  <c r="CK18" i="4" s="1"/>
  <c r="CN18" i="4" s="1"/>
  <c r="BS21" i="4"/>
  <c r="BV21" i="4" s="1"/>
  <c r="BY21" i="4" s="1"/>
  <c r="CB21" i="4" s="1"/>
  <c r="CE21" i="4" s="1"/>
  <c r="CH21" i="4" s="1"/>
  <c r="CK21" i="4" s="1"/>
  <c r="CN21" i="4" s="1"/>
  <c r="BS5" i="4"/>
  <c r="BV5" i="4" s="1"/>
  <c r="BY5" i="4" s="1"/>
  <c r="CB5" i="4" s="1"/>
  <c r="CE5" i="4" s="1"/>
  <c r="CH5" i="4" s="1"/>
  <c r="CK5" i="4" s="1"/>
  <c r="BT329" i="5"/>
  <c r="BT318" i="5"/>
  <c r="BT313" i="5"/>
  <c r="BT306" i="5"/>
  <c r="BT302" i="5"/>
  <c r="BU295" i="5"/>
  <c r="BT295" i="5"/>
  <c r="BT294" i="5"/>
  <c r="BT293" i="5"/>
  <c r="BT260" i="5"/>
  <c r="BT230" i="5"/>
  <c r="BT225" i="5"/>
  <c r="BT224" i="5"/>
  <c r="BT223" i="5"/>
  <c r="BU199" i="5"/>
  <c r="BT199" i="5"/>
  <c r="BT197" i="5"/>
  <c r="BT195" i="5"/>
  <c r="BT188" i="5"/>
  <c r="BT187" i="5"/>
  <c r="BT186" i="5"/>
  <c r="BU163" i="5"/>
  <c r="BT163" i="5"/>
  <c r="BT162" i="5"/>
  <c r="BU151" i="5"/>
  <c r="BT151" i="5"/>
  <c r="BT150" i="5"/>
  <c r="BT143" i="5"/>
  <c r="BT142" i="5"/>
  <c r="BT139" i="5"/>
  <c r="BT138" i="5"/>
  <c r="BT131" i="5"/>
  <c r="BT130" i="5"/>
  <c r="BT129" i="5"/>
  <c r="BT121" i="5"/>
  <c r="BT120" i="5"/>
  <c r="BT116" i="5"/>
  <c r="BT115" i="5"/>
  <c r="BT102" i="5"/>
  <c r="BT101" i="5"/>
  <c r="BT87" i="5"/>
  <c r="BT81" i="5"/>
  <c r="BT80" i="5"/>
  <c r="BT68" i="5"/>
  <c r="BT54" i="5"/>
  <c r="BT43" i="5"/>
  <c r="BT37" i="5"/>
  <c r="BT31" i="5"/>
  <c r="BT25" i="5"/>
  <c r="BT24" i="5"/>
  <c r="BT23" i="5"/>
  <c r="BT8" i="5"/>
  <c r="BQ329" i="5"/>
  <c r="BR322" i="5"/>
  <c r="BU322" i="5" s="1"/>
  <c r="BX322" i="5" s="1"/>
  <c r="CA322" i="5" s="1"/>
  <c r="CD322" i="5" s="1"/>
  <c r="CG322" i="5" s="1"/>
  <c r="CJ322" i="5" s="1"/>
  <c r="CM322" i="5" s="1"/>
  <c r="CP322" i="5" s="1"/>
  <c r="CS322" i="5" s="1"/>
  <c r="CV322" i="5" s="1"/>
  <c r="CY322" i="5" s="1"/>
  <c r="BR326" i="5"/>
  <c r="BU326" i="5" s="1"/>
  <c r="BX326" i="5" s="1"/>
  <c r="CA326" i="5" s="1"/>
  <c r="CD326" i="5" s="1"/>
  <c r="CG326" i="5" s="1"/>
  <c r="CJ326" i="5" s="1"/>
  <c r="CM326" i="5" s="1"/>
  <c r="CP326" i="5" s="1"/>
  <c r="CS326" i="5" s="1"/>
  <c r="CV326" i="5" s="1"/>
  <c r="CY326" i="5" s="1"/>
  <c r="BR325" i="5"/>
  <c r="BU325" i="5" s="1"/>
  <c r="BX325" i="5" s="1"/>
  <c r="CA325" i="5" s="1"/>
  <c r="CD325" i="5" s="1"/>
  <c r="CG325" i="5" s="1"/>
  <c r="CJ325" i="5" s="1"/>
  <c r="CM325" i="5" s="1"/>
  <c r="CP325" i="5" s="1"/>
  <c r="CS325" i="5" s="1"/>
  <c r="CV325" i="5" s="1"/>
  <c r="CY325" i="5" s="1"/>
  <c r="BR324" i="5"/>
  <c r="BU324" i="5" s="1"/>
  <c r="BX324" i="5" s="1"/>
  <c r="CA324" i="5" s="1"/>
  <c r="CD324" i="5" s="1"/>
  <c r="CG324" i="5" s="1"/>
  <c r="CJ324" i="5" s="1"/>
  <c r="CM324" i="5" s="1"/>
  <c r="CP324" i="5" s="1"/>
  <c r="CS324" i="5" s="1"/>
  <c r="CV324" i="5" s="1"/>
  <c r="CY324" i="5" s="1"/>
  <c r="BR319" i="5"/>
  <c r="BU319" i="5" s="1"/>
  <c r="BX319" i="5" s="1"/>
  <c r="CA319" i="5" s="1"/>
  <c r="BR314" i="5"/>
  <c r="BR318" i="5" s="1"/>
  <c r="BR307" i="5"/>
  <c r="BU307" i="5" s="1"/>
  <c r="BR303" i="5"/>
  <c r="BU303" i="5" s="1"/>
  <c r="BR299" i="5"/>
  <c r="BU299" i="5" s="1"/>
  <c r="BR291" i="5"/>
  <c r="BU291" i="5" s="1"/>
  <c r="BX291" i="5" s="1"/>
  <c r="CA291" i="5" s="1"/>
  <c r="CD291" i="5" s="1"/>
  <c r="CG291" i="5" s="1"/>
  <c r="CJ291" i="5" s="1"/>
  <c r="CM291" i="5" s="1"/>
  <c r="CP291" i="5" s="1"/>
  <c r="CS291" i="5" s="1"/>
  <c r="CV291" i="5" s="1"/>
  <c r="CY291" i="5" s="1"/>
  <c r="BR290" i="5"/>
  <c r="BU290" i="5" s="1"/>
  <c r="BX290" i="5" s="1"/>
  <c r="CA290" i="5" s="1"/>
  <c r="CD290" i="5" s="1"/>
  <c r="CG290" i="5" s="1"/>
  <c r="CJ290" i="5" s="1"/>
  <c r="CM290" i="5" s="1"/>
  <c r="CP290" i="5" s="1"/>
  <c r="CS290" i="5" s="1"/>
  <c r="CV290" i="5" s="1"/>
  <c r="CY290" i="5" s="1"/>
  <c r="BR281" i="5"/>
  <c r="BU281" i="5" s="1"/>
  <c r="BX281" i="5" s="1"/>
  <c r="CA281" i="5" s="1"/>
  <c r="CD281" i="5" s="1"/>
  <c r="CG281" i="5" s="1"/>
  <c r="CJ281" i="5" s="1"/>
  <c r="CM281" i="5" s="1"/>
  <c r="CP281" i="5" s="1"/>
  <c r="CS281" i="5" s="1"/>
  <c r="CV281" i="5" s="1"/>
  <c r="CY281" i="5" s="1"/>
  <c r="BR282" i="5"/>
  <c r="BU282" i="5" s="1"/>
  <c r="BR283" i="5"/>
  <c r="BU283" i="5" s="1"/>
  <c r="BX283" i="5" s="1"/>
  <c r="CA283" i="5" s="1"/>
  <c r="CD283" i="5" s="1"/>
  <c r="CG283" i="5" s="1"/>
  <c r="CJ283" i="5" s="1"/>
  <c r="CM283" i="5" s="1"/>
  <c r="CP283" i="5" s="1"/>
  <c r="CS283" i="5" s="1"/>
  <c r="CV283" i="5" s="1"/>
  <c r="CY283" i="5" s="1"/>
  <c r="BR284" i="5"/>
  <c r="BU284" i="5" s="1"/>
  <c r="BX284" i="5" s="1"/>
  <c r="CA284" i="5" s="1"/>
  <c r="CD284" i="5" s="1"/>
  <c r="CG284" i="5" s="1"/>
  <c r="CJ284" i="5" s="1"/>
  <c r="CM284" i="5" s="1"/>
  <c r="CP284" i="5" s="1"/>
  <c r="CS284" i="5" s="1"/>
  <c r="CV284" i="5" s="1"/>
  <c r="CY284" i="5" s="1"/>
  <c r="BR285" i="5"/>
  <c r="BU285" i="5" s="1"/>
  <c r="BX285" i="5" s="1"/>
  <c r="CA285" i="5" s="1"/>
  <c r="CD285" i="5" s="1"/>
  <c r="CG285" i="5" s="1"/>
  <c r="CJ285" i="5" s="1"/>
  <c r="CM285" i="5" s="1"/>
  <c r="CP285" i="5" s="1"/>
  <c r="CS285" i="5" s="1"/>
  <c r="CV285" i="5" s="1"/>
  <c r="CY285" i="5" s="1"/>
  <c r="BR286" i="5"/>
  <c r="BU286" i="5" s="1"/>
  <c r="BX286" i="5" s="1"/>
  <c r="CA286" i="5" s="1"/>
  <c r="CD286" i="5" s="1"/>
  <c r="CG286" i="5" s="1"/>
  <c r="CJ286" i="5" s="1"/>
  <c r="CM286" i="5" s="1"/>
  <c r="CP286" i="5" s="1"/>
  <c r="CS286" i="5" s="1"/>
  <c r="CV286" i="5" s="1"/>
  <c r="CY286" i="5" s="1"/>
  <c r="BR287" i="5"/>
  <c r="BU287" i="5" s="1"/>
  <c r="BX287" i="5" s="1"/>
  <c r="CA287" i="5" s="1"/>
  <c r="CD287" i="5" s="1"/>
  <c r="CG287" i="5" s="1"/>
  <c r="CJ287" i="5" s="1"/>
  <c r="CM287" i="5" s="1"/>
  <c r="CP287" i="5" s="1"/>
  <c r="CS287" i="5" s="1"/>
  <c r="CV287" i="5" s="1"/>
  <c r="CY287" i="5" s="1"/>
  <c r="BR288" i="5"/>
  <c r="BU288" i="5" s="1"/>
  <c r="BX288" i="5" s="1"/>
  <c r="CA288" i="5" s="1"/>
  <c r="CD288" i="5" s="1"/>
  <c r="CG288" i="5" s="1"/>
  <c r="CJ288" i="5" s="1"/>
  <c r="CM288" i="5" s="1"/>
  <c r="CP288" i="5" s="1"/>
  <c r="CS288" i="5" s="1"/>
  <c r="CV288" i="5" s="1"/>
  <c r="CY288" i="5" s="1"/>
  <c r="BR268" i="5"/>
  <c r="BU268" i="5" s="1"/>
  <c r="BX268" i="5" s="1"/>
  <c r="CA268" i="5" s="1"/>
  <c r="CD268" i="5" s="1"/>
  <c r="CG268" i="5" s="1"/>
  <c r="CJ268" i="5" s="1"/>
  <c r="CM268" i="5" s="1"/>
  <c r="CP268" i="5" s="1"/>
  <c r="CS268" i="5" s="1"/>
  <c r="CV268" i="5" s="1"/>
  <c r="CY268" i="5" s="1"/>
  <c r="BR269" i="5"/>
  <c r="BU269" i="5" s="1"/>
  <c r="BX269" i="5" s="1"/>
  <c r="CA269" i="5" s="1"/>
  <c r="CD269" i="5" s="1"/>
  <c r="CG269" i="5" s="1"/>
  <c r="CJ269" i="5" s="1"/>
  <c r="CM269" i="5" s="1"/>
  <c r="CP269" i="5" s="1"/>
  <c r="CS269" i="5" s="1"/>
  <c r="CV269" i="5" s="1"/>
  <c r="CY269" i="5" s="1"/>
  <c r="BR270" i="5"/>
  <c r="BU270" i="5" s="1"/>
  <c r="BX270" i="5" s="1"/>
  <c r="CA270" i="5" s="1"/>
  <c r="CD270" i="5" s="1"/>
  <c r="CG270" i="5" s="1"/>
  <c r="CJ270" i="5" s="1"/>
  <c r="CM270" i="5" s="1"/>
  <c r="CP270" i="5" s="1"/>
  <c r="CS270" i="5" s="1"/>
  <c r="CV270" i="5" s="1"/>
  <c r="CY270" i="5" s="1"/>
  <c r="BR271" i="5"/>
  <c r="BU271" i="5" s="1"/>
  <c r="BX271" i="5" s="1"/>
  <c r="CA271" i="5" s="1"/>
  <c r="CD271" i="5" s="1"/>
  <c r="CG271" i="5" s="1"/>
  <c r="CJ271" i="5" s="1"/>
  <c r="CM271" i="5" s="1"/>
  <c r="CP271" i="5" s="1"/>
  <c r="CS271" i="5" s="1"/>
  <c r="CV271" i="5" s="1"/>
  <c r="CY271" i="5" s="1"/>
  <c r="BR276" i="5"/>
  <c r="BU276" i="5" s="1"/>
  <c r="BX276" i="5" s="1"/>
  <c r="CA276" i="5" s="1"/>
  <c r="CD276" i="5" s="1"/>
  <c r="CG276" i="5" s="1"/>
  <c r="CJ276" i="5" s="1"/>
  <c r="CM276" i="5" s="1"/>
  <c r="CP276" i="5" s="1"/>
  <c r="CS276" i="5" s="1"/>
  <c r="CV276" i="5" s="1"/>
  <c r="CY276" i="5" s="1"/>
  <c r="BR277" i="5"/>
  <c r="BU277" i="5" s="1"/>
  <c r="BX277" i="5" s="1"/>
  <c r="CA277" i="5" s="1"/>
  <c r="CD277" i="5" s="1"/>
  <c r="CG277" i="5" s="1"/>
  <c r="CJ277" i="5" s="1"/>
  <c r="CM277" i="5" s="1"/>
  <c r="CP277" i="5" s="1"/>
  <c r="CS277" i="5" s="1"/>
  <c r="CV277" i="5" s="1"/>
  <c r="CY277" i="5" s="1"/>
  <c r="BR278" i="5"/>
  <c r="BU278" i="5" s="1"/>
  <c r="BX278" i="5" s="1"/>
  <c r="CA278" i="5" s="1"/>
  <c r="CD278" i="5" s="1"/>
  <c r="CG278" i="5" s="1"/>
  <c r="CJ278" i="5" s="1"/>
  <c r="CM278" i="5" s="1"/>
  <c r="CP278" i="5" s="1"/>
  <c r="CS278" i="5" s="1"/>
  <c r="CV278" i="5" s="1"/>
  <c r="CY278" i="5" s="1"/>
  <c r="BR279" i="5"/>
  <c r="BU279" i="5" s="1"/>
  <c r="BX279" i="5" s="1"/>
  <c r="CA279" i="5" s="1"/>
  <c r="CD279" i="5" s="1"/>
  <c r="CG279" i="5" s="1"/>
  <c r="CJ279" i="5" s="1"/>
  <c r="CM279" i="5" s="1"/>
  <c r="CP279" i="5" s="1"/>
  <c r="CS279" i="5" s="1"/>
  <c r="CV279" i="5" s="1"/>
  <c r="CY279" i="5" s="1"/>
  <c r="BR280" i="5"/>
  <c r="BU280" i="5" s="1"/>
  <c r="BX280" i="5" s="1"/>
  <c r="CA280" i="5" s="1"/>
  <c r="CD280" i="5" s="1"/>
  <c r="CG280" i="5" s="1"/>
  <c r="CJ280" i="5" s="1"/>
  <c r="CM280" i="5" s="1"/>
  <c r="CP280" i="5" s="1"/>
  <c r="CS280" i="5" s="1"/>
  <c r="CV280" i="5" s="1"/>
  <c r="CY280" i="5" s="1"/>
  <c r="BR191" i="5"/>
  <c r="BU191" i="5" s="1"/>
  <c r="BX191" i="5" s="1"/>
  <c r="CA191" i="5" s="1"/>
  <c r="CD191" i="5" s="1"/>
  <c r="CG191" i="5" s="1"/>
  <c r="CJ191" i="5" s="1"/>
  <c r="CM191" i="5" s="1"/>
  <c r="CP191" i="5" s="1"/>
  <c r="CS191" i="5" s="1"/>
  <c r="CV191" i="5" s="1"/>
  <c r="CY191" i="5" s="1"/>
  <c r="BR190" i="5"/>
  <c r="BU190" i="5" s="1"/>
  <c r="BX190" i="5" s="1"/>
  <c r="CA190" i="5" s="1"/>
  <c r="CD190" i="5" s="1"/>
  <c r="CG190" i="5" s="1"/>
  <c r="CJ190" i="5" s="1"/>
  <c r="CM190" i="5" s="1"/>
  <c r="CP190" i="5" s="1"/>
  <c r="CS190" i="5" s="1"/>
  <c r="CV190" i="5" s="1"/>
  <c r="CY190" i="5" s="1"/>
  <c r="BR267" i="5"/>
  <c r="BU267" i="5" s="1"/>
  <c r="BX267" i="5" s="1"/>
  <c r="CA267" i="5" s="1"/>
  <c r="CD267" i="5" s="1"/>
  <c r="CG267" i="5" s="1"/>
  <c r="CJ267" i="5" s="1"/>
  <c r="CM267" i="5" s="1"/>
  <c r="CP267" i="5" s="1"/>
  <c r="CS267" i="5" s="1"/>
  <c r="CV267" i="5" s="1"/>
  <c r="CY267" i="5" s="1"/>
  <c r="BR266" i="5"/>
  <c r="BU266" i="5" s="1"/>
  <c r="BX266" i="5" s="1"/>
  <c r="CA266" i="5" s="1"/>
  <c r="CD266" i="5" s="1"/>
  <c r="CG266" i="5" s="1"/>
  <c r="CJ266" i="5" s="1"/>
  <c r="CM266" i="5" s="1"/>
  <c r="CP266" i="5" s="1"/>
  <c r="CS266" i="5" s="1"/>
  <c r="CV266" i="5" s="1"/>
  <c r="CY266" i="5" s="1"/>
  <c r="BR265" i="5"/>
  <c r="BU265" i="5" s="1"/>
  <c r="BX265" i="5" s="1"/>
  <c r="CA265" i="5" s="1"/>
  <c r="CD265" i="5" s="1"/>
  <c r="CG265" i="5" s="1"/>
  <c r="CJ265" i="5" s="1"/>
  <c r="CM265" i="5" s="1"/>
  <c r="CP265" i="5" s="1"/>
  <c r="CS265" i="5" s="1"/>
  <c r="CV265" i="5" s="1"/>
  <c r="CY265" i="5" s="1"/>
  <c r="BR246" i="5"/>
  <c r="BU246" i="5" s="1"/>
  <c r="BX246" i="5" s="1"/>
  <c r="CA246" i="5" s="1"/>
  <c r="CD246" i="5" s="1"/>
  <c r="CG246" i="5" s="1"/>
  <c r="CJ246" i="5" s="1"/>
  <c r="CM246" i="5" s="1"/>
  <c r="CP246" i="5" s="1"/>
  <c r="CS246" i="5" s="1"/>
  <c r="CV246" i="5" s="1"/>
  <c r="CY246" i="5" s="1"/>
  <c r="BR245" i="5"/>
  <c r="BU245" i="5" s="1"/>
  <c r="BX245" i="5" s="1"/>
  <c r="CA245" i="5" s="1"/>
  <c r="CD245" i="5" s="1"/>
  <c r="CG245" i="5" s="1"/>
  <c r="CJ245" i="5" s="1"/>
  <c r="CM245" i="5" s="1"/>
  <c r="CP245" i="5" s="1"/>
  <c r="CS245" i="5" s="1"/>
  <c r="CV245" i="5" s="1"/>
  <c r="CY245" i="5" s="1"/>
  <c r="BR244" i="5"/>
  <c r="BU244" i="5" s="1"/>
  <c r="BX244" i="5" s="1"/>
  <c r="CA244" i="5" s="1"/>
  <c r="CD244" i="5" s="1"/>
  <c r="CG244" i="5" s="1"/>
  <c r="CJ244" i="5" s="1"/>
  <c r="CM244" i="5" s="1"/>
  <c r="CP244" i="5" s="1"/>
  <c r="CS244" i="5" s="1"/>
  <c r="CV244" i="5" s="1"/>
  <c r="CY244" i="5" s="1"/>
  <c r="BR243" i="5"/>
  <c r="BU243" i="5" s="1"/>
  <c r="BX243" i="5" s="1"/>
  <c r="CA243" i="5" s="1"/>
  <c r="CD243" i="5" s="1"/>
  <c r="CG243" i="5" s="1"/>
  <c r="CJ243" i="5" s="1"/>
  <c r="CM243" i="5" s="1"/>
  <c r="CP243" i="5" s="1"/>
  <c r="CS243" i="5" s="1"/>
  <c r="CV243" i="5" s="1"/>
  <c r="CY243" i="5" s="1"/>
  <c r="BR242" i="5"/>
  <c r="BU242" i="5" s="1"/>
  <c r="BX242" i="5" s="1"/>
  <c r="CA242" i="5" s="1"/>
  <c r="CD242" i="5" s="1"/>
  <c r="CG242" i="5" s="1"/>
  <c r="CJ242" i="5" s="1"/>
  <c r="CM242" i="5" s="1"/>
  <c r="CP242" i="5" s="1"/>
  <c r="CS242" i="5" s="1"/>
  <c r="CV242" i="5" s="1"/>
  <c r="CY242" i="5" s="1"/>
  <c r="BR241" i="5"/>
  <c r="BU241" i="5" s="1"/>
  <c r="BX241" i="5" s="1"/>
  <c r="CA241" i="5" s="1"/>
  <c r="CD241" i="5" s="1"/>
  <c r="CG241" i="5" s="1"/>
  <c r="CJ241" i="5" s="1"/>
  <c r="CM241" i="5" s="1"/>
  <c r="CP241" i="5" s="1"/>
  <c r="CS241" i="5" s="1"/>
  <c r="CV241" i="5" s="1"/>
  <c r="CY241" i="5" s="1"/>
  <c r="BR240" i="5"/>
  <c r="BU240" i="5" s="1"/>
  <c r="BX240" i="5" s="1"/>
  <c r="CA240" i="5" s="1"/>
  <c r="BQ197" i="5"/>
  <c r="BR196" i="5"/>
  <c r="BR197" i="5" s="1"/>
  <c r="BR228" i="5"/>
  <c r="BR227" i="5"/>
  <c r="BU227" i="5" s="1"/>
  <c r="BX227" i="5" s="1"/>
  <c r="CA227" i="5" s="1"/>
  <c r="CD227" i="5" s="1"/>
  <c r="CG227" i="5" s="1"/>
  <c r="CJ227" i="5" s="1"/>
  <c r="CM227" i="5" s="1"/>
  <c r="CP227" i="5" s="1"/>
  <c r="CS227" i="5" s="1"/>
  <c r="CV227" i="5" s="1"/>
  <c r="CY227" i="5" s="1"/>
  <c r="BR226" i="5"/>
  <c r="BU226" i="5" s="1"/>
  <c r="BX226" i="5" s="1"/>
  <c r="CA226" i="5" s="1"/>
  <c r="BR220" i="5"/>
  <c r="BU220" i="5" s="1"/>
  <c r="BX220" i="5" s="1"/>
  <c r="CA220" i="5" s="1"/>
  <c r="CD220" i="5" s="1"/>
  <c r="CG220" i="5" s="1"/>
  <c r="CJ220" i="5" s="1"/>
  <c r="CM220" i="5" s="1"/>
  <c r="CP220" i="5" s="1"/>
  <c r="CS220" i="5" s="1"/>
  <c r="CV220" i="5" s="1"/>
  <c r="CY220" i="5" s="1"/>
  <c r="BR218" i="5"/>
  <c r="BU218" i="5" s="1"/>
  <c r="BX218" i="5" s="1"/>
  <c r="BR216" i="5"/>
  <c r="BU216" i="5" s="1"/>
  <c r="BX216" i="5" s="1"/>
  <c r="CA216" i="5" s="1"/>
  <c r="CD216" i="5" s="1"/>
  <c r="CG216" i="5" s="1"/>
  <c r="CJ216" i="5" s="1"/>
  <c r="CM216" i="5" s="1"/>
  <c r="CP216" i="5" s="1"/>
  <c r="CS216" i="5" s="1"/>
  <c r="CV216" i="5" s="1"/>
  <c r="CY216" i="5" s="1"/>
  <c r="BR215" i="5"/>
  <c r="BU215" i="5" s="1"/>
  <c r="BX215" i="5" s="1"/>
  <c r="CA215" i="5" s="1"/>
  <c r="CD215" i="5" s="1"/>
  <c r="CG215" i="5" s="1"/>
  <c r="CJ215" i="5" s="1"/>
  <c r="CM215" i="5" s="1"/>
  <c r="CP215" i="5" s="1"/>
  <c r="CS215" i="5" s="1"/>
  <c r="CV215" i="5" s="1"/>
  <c r="CY215" i="5" s="1"/>
  <c r="BR214" i="5"/>
  <c r="BU214" i="5" s="1"/>
  <c r="BX214" i="5" s="1"/>
  <c r="CA214" i="5" s="1"/>
  <c r="CD214" i="5" s="1"/>
  <c r="CG214" i="5" s="1"/>
  <c r="CJ214" i="5" s="1"/>
  <c r="CM214" i="5" s="1"/>
  <c r="CP214" i="5" s="1"/>
  <c r="CS214" i="5" s="1"/>
  <c r="CV214" i="5" s="1"/>
  <c r="CY214" i="5" s="1"/>
  <c r="BR213" i="5"/>
  <c r="BU213" i="5" s="1"/>
  <c r="BX213" i="5" s="1"/>
  <c r="CA213" i="5" s="1"/>
  <c r="CD213" i="5" s="1"/>
  <c r="CG213" i="5" s="1"/>
  <c r="CJ213" i="5" s="1"/>
  <c r="CM213" i="5" s="1"/>
  <c r="CP213" i="5" s="1"/>
  <c r="CS213" i="5" s="1"/>
  <c r="CV213" i="5" s="1"/>
  <c r="CY213" i="5" s="1"/>
  <c r="BR212" i="5"/>
  <c r="BU212" i="5" s="1"/>
  <c r="BX212" i="5" s="1"/>
  <c r="CA212" i="5" s="1"/>
  <c r="CD212" i="5" s="1"/>
  <c r="CG212" i="5" s="1"/>
  <c r="CJ212" i="5" s="1"/>
  <c r="CM212" i="5" s="1"/>
  <c r="CP212" i="5" s="1"/>
  <c r="CS212" i="5" s="1"/>
  <c r="CV212" i="5" s="1"/>
  <c r="CY212" i="5" s="1"/>
  <c r="BR211" i="5"/>
  <c r="BR224" i="5" s="1"/>
  <c r="BR210" i="5"/>
  <c r="BU210" i="5" s="1"/>
  <c r="BX210" i="5" s="1"/>
  <c r="CA210" i="5" s="1"/>
  <c r="CD210" i="5" s="1"/>
  <c r="CG210" i="5" s="1"/>
  <c r="CJ210" i="5" s="1"/>
  <c r="CM210" i="5" s="1"/>
  <c r="CP210" i="5" s="1"/>
  <c r="CS210" i="5" s="1"/>
  <c r="CV210" i="5" s="1"/>
  <c r="CY210" i="5" s="1"/>
  <c r="BR209" i="5"/>
  <c r="BU209" i="5" s="1"/>
  <c r="BX209" i="5" s="1"/>
  <c r="CA209" i="5" s="1"/>
  <c r="CD209" i="5" s="1"/>
  <c r="CG209" i="5" s="1"/>
  <c r="CJ209" i="5" s="1"/>
  <c r="CM209" i="5" s="1"/>
  <c r="CP209" i="5" s="1"/>
  <c r="CS209" i="5" s="1"/>
  <c r="CV209" i="5" s="1"/>
  <c r="CY209" i="5" s="1"/>
  <c r="BR208" i="5"/>
  <c r="BU208" i="5" s="1"/>
  <c r="BX208" i="5" s="1"/>
  <c r="CA208" i="5" s="1"/>
  <c r="CD208" i="5" s="1"/>
  <c r="CG208" i="5" s="1"/>
  <c r="CJ208" i="5" s="1"/>
  <c r="CM208" i="5" s="1"/>
  <c r="CP208" i="5" s="1"/>
  <c r="CS208" i="5" s="1"/>
  <c r="CV208" i="5" s="1"/>
  <c r="CY208" i="5" s="1"/>
  <c r="BR205" i="5"/>
  <c r="BU205" i="5" s="1"/>
  <c r="BX205" i="5" s="1"/>
  <c r="CA205" i="5" s="1"/>
  <c r="CD205" i="5" s="1"/>
  <c r="CG205" i="5" s="1"/>
  <c r="CJ205" i="5" s="1"/>
  <c r="CM205" i="5" s="1"/>
  <c r="CP205" i="5" s="1"/>
  <c r="CS205" i="5" s="1"/>
  <c r="CV205" i="5" s="1"/>
  <c r="CY205" i="5" s="1"/>
  <c r="BR201" i="5"/>
  <c r="BU201" i="5" s="1"/>
  <c r="BX201" i="5" s="1"/>
  <c r="CA201" i="5" s="1"/>
  <c r="CD201" i="5" s="1"/>
  <c r="CG201" i="5" s="1"/>
  <c r="CJ201" i="5" s="1"/>
  <c r="CM201" i="5" s="1"/>
  <c r="CP201" i="5" s="1"/>
  <c r="CS201" i="5" s="1"/>
  <c r="CV201" i="5" s="1"/>
  <c r="CY201" i="5" s="1"/>
  <c r="BR200" i="5"/>
  <c r="BU200" i="5" s="1"/>
  <c r="BX200" i="5" s="1"/>
  <c r="CA200" i="5" s="1"/>
  <c r="CD200" i="5" s="1"/>
  <c r="BR189" i="5"/>
  <c r="BR180" i="5"/>
  <c r="BU180" i="5" s="1"/>
  <c r="BX180" i="5" s="1"/>
  <c r="CA180" i="5" s="1"/>
  <c r="CD180" i="5" s="1"/>
  <c r="CG180" i="5" s="1"/>
  <c r="CJ180" i="5" s="1"/>
  <c r="CM180" i="5" s="1"/>
  <c r="CP180" i="5" s="1"/>
  <c r="CS180" i="5" s="1"/>
  <c r="CV180" i="5" s="1"/>
  <c r="CY180" i="5" s="1"/>
  <c r="BR179" i="5"/>
  <c r="BU179" i="5" s="1"/>
  <c r="BX179" i="5" s="1"/>
  <c r="CA179" i="5" s="1"/>
  <c r="CD179" i="5" s="1"/>
  <c r="CG179" i="5" s="1"/>
  <c r="CJ179" i="5" s="1"/>
  <c r="CM179" i="5" s="1"/>
  <c r="CP179" i="5" s="1"/>
  <c r="CS179" i="5" s="1"/>
  <c r="CV179" i="5" s="1"/>
  <c r="CY179" i="5" s="1"/>
  <c r="BR178" i="5"/>
  <c r="BU178" i="5" s="1"/>
  <c r="BX178" i="5" s="1"/>
  <c r="CA178" i="5" s="1"/>
  <c r="CD178" i="5" s="1"/>
  <c r="CG178" i="5" s="1"/>
  <c r="CJ178" i="5" s="1"/>
  <c r="CM178" i="5" s="1"/>
  <c r="CP178" i="5" s="1"/>
  <c r="CS178" i="5" s="1"/>
  <c r="CV178" i="5" s="1"/>
  <c r="CY178" i="5" s="1"/>
  <c r="BR177" i="5"/>
  <c r="BU177" i="5" s="1"/>
  <c r="BR176" i="5"/>
  <c r="BU176" i="5" s="1"/>
  <c r="BX176" i="5" s="1"/>
  <c r="CA176" i="5" s="1"/>
  <c r="CD176" i="5" s="1"/>
  <c r="CG176" i="5" s="1"/>
  <c r="CJ176" i="5" s="1"/>
  <c r="CM176" i="5" s="1"/>
  <c r="CP176" i="5" s="1"/>
  <c r="CS176" i="5" s="1"/>
  <c r="CV176" i="5" s="1"/>
  <c r="CY176" i="5" s="1"/>
  <c r="BR175" i="5"/>
  <c r="BU175" i="5" s="1"/>
  <c r="BX175" i="5" s="1"/>
  <c r="CA175" i="5" s="1"/>
  <c r="CD175" i="5" s="1"/>
  <c r="CG175" i="5" s="1"/>
  <c r="CJ175" i="5" s="1"/>
  <c r="CM175" i="5" s="1"/>
  <c r="CP175" i="5" s="1"/>
  <c r="CS175" i="5" s="1"/>
  <c r="CV175" i="5" s="1"/>
  <c r="CY175" i="5" s="1"/>
  <c r="BR174" i="5"/>
  <c r="BU174" i="5" s="1"/>
  <c r="BX174" i="5" s="1"/>
  <c r="CA174" i="5" s="1"/>
  <c r="CD174" i="5" s="1"/>
  <c r="CG174" i="5" s="1"/>
  <c r="CJ174" i="5" s="1"/>
  <c r="CM174" i="5" s="1"/>
  <c r="CP174" i="5" s="1"/>
  <c r="CS174" i="5" s="1"/>
  <c r="CV174" i="5" s="1"/>
  <c r="CY174" i="5" s="1"/>
  <c r="BR172" i="5"/>
  <c r="BU172" i="5" s="1"/>
  <c r="BX172" i="5" s="1"/>
  <c r="CA172" i="5" s="1"/>
  <c r="CD172" i="5" s="1"/>
  <c r="CG172" i="5" s="1"/>
  <c r="CJ172" i="5" s="1"/>
  <c r="CM172" i="5" s="1"/>
  <c r="CP172" i="5" s="1"/>
  <c r="CS172" i="5" s="1"/>
  <c r="CV172" i="5" s="1"/>
  <c r="CY172" i="5" s="1"/>
  <c r="BR171" i="5"/>
  <c r="BU171" i="5" s="1"/>
  <c r="BX171" i="5" s="1"/>
  <c r="CA171" i="5" s="1"/>
  <c r="CD171" i="5" s="1"/>
  <c r="CG171" i="5" s="1"/>
  <c r="CJ171" i="5" s="1"/>
  <c r="CM171" i="5" s="1"/>
  <c r="CP171" i="5" s="1"/>
  <c r="CS171" i="5" s="1"/>
  <c r="CV171" i="5" s="1"/>
  <c r="CY171" i="5" s="1"/>
  <c r="BR170" i="5"/>
  <c r="BU170" i="5" s="1"/>
  <c r="BX170" i="5" s="1"/>
  <c r="CA170" i="5" s="1"/>
  <c r="CD170" i="5" s="1"/>
  <c r="CG170" i="5" s="1"/>
  <c r="CJ170" i="5" s="1"/>
  <c r="CM170" i="5" s="1"/>
  <c r="CP170" i="5" s="1"/>
  <c r="CS170" i="5" s="1"/>
  <c r="CV170" i="5" s="1"/>
  <c r="CY170" i="5" s="1"/>
  <c r="BR169" i="5"/>
  <c r="BU169" i="5" s="1"/>
  <c r="BX169" i="5" s="1"/>
  <c r="CA169" i="5" s="1"/>
  <c r="CD169" i="5" s="1"/>
  <c r="CG169" i="5" s="1"/>
  <c r="CJ169" i="5" s="1"/>
  <c r="CM169" i="5" s="1"/>
  <c r="CP169" i="5" s="1"/>
  <c r="CS169" i="5" s="1"/>
  <c r="CV169" i="5" s="1"/>
  <c r="CY169" i="5" s="1"/>
  <c r="BR168" i="5"/>
  <c r="BU168" i="5" s="1"/>
  <c r="BX168" i="5" s="1"/>
  <c r="CA168" i="5" s="1"/>
  <c r="CD168" i="5" s="1"/>
  <c r="CG168" i="5" s="1"/>
  <c r="CJ168" i="5" s="1"/>
  <c r="CM168" i="5" s="1"/>
  <c r="CP168" i="5" s="1"/>
  <c r="CS168" i="5" s="1"/>
  <c r="CV168" i="5" s="1"/>
  <c r="CY168" i="5" s="1"/>
  <c r="BR165" i="5"/>
  <c r="BU165" i="5" s="1"/>
  <c r="BX165" i="5" s="1"/>
  <c r="CA165" i="5" s="1"/>
  <c r="CD165" i="5" s="1"/>
  <c r="CG165" i="5" s="1"/>
  <c r="CJ165" i="5" s="1"/>
  <c r="CM165" i="5" s="1"/>
  <c r="CP165" i="5" s="1"/>
  <c r="CS165" i="5" s="1"/>
  <c r="CV165" i="5" s="1"/>
  <c r="CY165" i="5" s="1"/>
  <c r="BR164" i="5"/>
  <c r="BU164" i="5" s="1"/>
  <c r="BX164" i="5" s="1"/>
  <c r="CA164" i="5" s="1"/>
  <c r="CD164" i="5" s="1"/>
  <c r="CG164" i="5" s="1"/>
  <c r="CJ164" i="5" s="1"/>
  <c r="CM164" i="5" s="1"/>
  <c r="CP164" i="5" s="1"/>
  <c r="CS164" i="5" s="1"/>
  <c r="CV164" i="5" s="1"/>
  <c r="BR158" i="5"/>
  <c r="BU158" i="5" s="1"/>
  <c r="BX158" i="5" s="1"/>
  <c r="CA158" i="5" s="1"/>
  <c r="CD158" i="5" s="1"/>
  <c r="CG158" i="5" s="1"/>
  <c r="CJ158" i="5" s="1"/>
  <c r="CM158" i="5" s="1"/>
  <c r="CP158" i="5" s="1"/>
  <c r="CS158" i="5" s="1"/>
  <c r="CV158" i="5" s="1"/>
  <c r="CY158" i="5" s="1"/>
  <c r="BR155" i="5"/>
  <c r="BU155" i="5" s="1"/>
  <c r="BX155" i="5" s="1"/>
  <c r="CA155" i="5" s="1"/>
  <c r="CD155" i="5" s="1"/>
  <c r="CG155" i="5" s="1"/>
  <c r="CJ155" i="5" s="1"/>
  <c r="CM155" i="5" s="1"/>
  <c r="CP155" i="5" s="1"/>
  <c r="CS155" i="5" s="1"/>
  <c r="CV155" i="5" s="1"/>
  <c r="CY155" i="5" s="1"/>
  <c r="BR152" i="5"/>
  <c r="BU152" i="5" s="1"/>
  <c r="BX152" i="5" s="1"/>
  <c r="BR144" i="5"/>
  <c r="BR150" i="5" s="1"/>
  <c r="BR141" i="5"/>
  <c r="BU141" i="5" s="1"/>
  <c r="BR140" i="5"/>
  <c r="BR143" i="5" s="1"/>
  <c r="BR136" i="5"/>
  <c r="BU136" i="5" s="1"/>
  <c r="BR135" i="5"/>
  <c r="BU135" i="5" s="1"/>
  <c r="BX135" i="5" s="1"/>
  <c r="CA135" i="5" s="1"/>
  <c r="CD135" i="5" s="1"/>
  <c r="CG135" i="5" s="1"/>
  <c r="CJ135" i="5" s="1"/>
  <c r="CM135" i="5" s="1"/>
  <c r="CP135" i="5" s="1"/>
  <c r="CS135" i="5" s="1"/>
  <c r="CV135" i="5" s="1"/>
  <c r="CY135" i="5" s="1"/>
  <c r="BR127" i="5"/>
  <c r="BR131" i="5" s="1"/>
  <c r="BR126" i="5"/>
  <c r="BR130" i="5" s="1"/>
  <c r="BR125" i="5"/>
  <c r="BU125" i="5" s="1"/>
  <c r="BX125" i="5" s="1"/>
  <c r="CA125" i="5" s="1"/>
  <c r="CD125" i="5" s="1"/>
  <c r="CG125" i="5" s="1"/>
  <c r="CJ125" i="5" s="1"/>
  <c r="CM125" i="5" s="1"/>
  <c r="CP125" i="5" s="1"/>
  <c r="CS125" i="5" s="1"/>
  <c r="CV125" i="5" s="1"/>
  <c r="CY125" i="5" s="1"/>
  <c r="BR123" i="5"/>
  <c r="BU123" i="5" s="1"/>
  <c r="BX123" i="5" s="1"/>
  <c r="CA123" i="5" s="1"/>
  <c r="CD123" i="5" s="1"/>
  <c r="BR118" i="5"/>
  <c r="BU118" i="5" s="1"/>
  <c r="BR117" i="5"/>
  <c r="BR120" i="5" s="1"/>
  <c r="BR112" i="5"/>
  <c r="BU112" i="5" s="1"/>
  <c r="BX112" i="5" s="1"/>
  <c r="CA112" i="5" s="1"/>
  <c r="CD112" i="5" s="1"/>
  <c r="CG112" i="5" s="1"/>
  <c r="CJ112" i="5" s="1"/>
  <c r="CM112" i="5" s="1"/>
  <c r="CP112" i="5" s="1"/>
  <c r="CS112" i="5" s="1"/>
  <c r="CV112" i="5" s="1"/>
  <c r="CY112" i="5" s="1"/>
  <c r="BR111" i="5"/>
  <c r="BU111" i="5" s="1"/>
  <c r="BX111" i="5" s="1"/>
  <c r="CA111" i="5" s="1"/>
  <c r="CD111" i="5" s="1"/>
  <c r="CG111" i="5" s="1"/>
  <c r="CJ111" i="5" s="1"/>
  <c r="CM111" i="5" s="1"/>
  <c r="CP111" i="5" s="1"/>
  <c r="CS111" i="5" s="1"/>
  <c r="CV111" i="5" s="1"/>
  <c r="CY111" i="5" s="1"/>
  <c r="BR110" i="5"/>
  <c r="BU110" i="5" s="1"/>
  <c r="BX110" i="5" s="1"/>
  <c r="CA110" i="5" s="1"/>
  <c r="CD110" i="5" s="1"/>
  <c r="CG110" i="5" s="1"/>
  <c r="CJ110" i="5" s="1"/>
  <c r="CM110" i="5" s="1"/>
  <c r="CP110" i="5" s="1"/>
  <c r="CS110" i="5" s="1"/>
  <c r="CV110" i="5" s="1"/>
  <c r="CY110" i="5" s="1"/>
  <c r="BR109" i="5"/>
  <c r="BU109" i="5" s="1"/>
  <c r="BR97" i="5"/>
  <c r="BR102" i="5" s="1"/>
  <c r="BR94" i="5"/>
  <c r="BU94" i="5" s="1"/>
  <c r="BX94" i="5" s="1"/>
  <c r="CA94" i="5" s="1"/>
  <c r="CD94" i="5" s="1"/>
  <c r="CG94" i="5" s="1"/>
  <c r="CJ94" i="5" s="1"/>
  <c r="CM94" i="5" s="1"/>
  <c r="CP94" i="5" s="1"/>
  <c r="CS94" i="5" s="1"/>
  <c r="CV94" i="5" s="1"/>
  <c r="CY94" i="5" s="1"/>
  <c r="BR93" i="5"/>
  <c r="BU93" i="5" s="1"/>
  <c r="BX93" i="5" s="1"/>
  <c r="CA93" i="5" s="1"/>
  <c r="CD93" i="5" s="1"/>
  <c r="BR92" i="5"/>
  <c r="BU92" i="5" s="1"/>
  <c r="BX92" i="5" s="1"/>
  <c r="CA92" i="5" s="1"/>
  <c r="CD92" i="5" s="1"/>
  <c r="CG92" i="5" s="1"/>
  <c r="CJ92" i="5" s="1"/>
  <c r="CM92" i="5" s="1"/>
  <c r="CP92" i="5" s="1"/>
  <c r="CS92" i="5" s="1"/>
  <c r="CV92" i="5" s="1"/>
  <c r="BR86" i="5"/>
  <c r="BR87" i="5" s="1"/>
  <c r="BR78" i="5"/>
  <c r="BU78" i="5" s="1"/>
  <c r="BR77" i="5"/>
  <c r="BU77" i="5" s="1"/>
  <c r="BX77" i="5" s="1"/>
  <c r="CA77" i="5" s="1"/>
  <c r="CD77" i="5" s="1"/>
  <c r="CG77" i="5" s="1"/>
  <c r="CJ77" i="5" s="1"/>
  <c r="CM77" i="5" s="1"/>
  <c r="CP77" i="5" s="1"/>
  <c r="CS77" i="5" s="1"/>
  <c r="CV77" i="5" s="1"/>
  <c r="CY77" i="5" s="1"/>
  <c r="BR76" i="5"/>
  <c r="BU76" i="5" s="1"/>
  <c r="BX76" i="5" s="1"/>
  <c r="CA76" i="5" s="1"/>
  <c r="CD76" i="5" s="1"/>
  <c r="CG76" i="5" s="1"/>
  <c r="CJ76" i="5" s="1"/>
  <c r="CM76" i="5" s="1"/>
  <c r="CP76" i="5" s="1"/>
  <c r="CS76" i="5" s="1"/>
  <c r="CV76" i="5" s="1"/>
  <c r="CY76" i="5" s="1"/>
  <c r="BR72" i="5"/>
  <c r="BU72" i="5" s="1"/>
  <c r="BX72" i="5" s="1"/>
  <c r="CA72" i="5" s="1"/>
  <c r="CD72" i="5" s="1"/>
  <c r="CG72" i="5" s="1"/>
  <c r="CJ72" i="5" s="1"/>
  <c r="CM72" i="5" s="1"/>
  <c r="CP72" i="5" s="1"/>
  <c r="CS72" i="5" s="1"/>
  <c r="CV72" i="5" s="1"/>
  <c r="CY72" i="5" s="1"/>
  <c r="BR71" i="5"/>
  <c r="BU71" i="5" s="1"/>
  <c r="BX71" i="5" s="1"/>
  <c r="CA71" i="5" s="1"/>
  <c r="CD71" i="5" s="1"/>
  <c r="CG71" i="5" s="1"/>
  <c r="CJ71" i="5" s="1"/>
  <c r="CM71" i="5" s="1"/>
  <c r="CP71" i="5" s="1"/>
  <c r="CS71" i="5" s="1"/>
  <c r="CV71" i="5" s="1"/>
  <c r="CY71" i="5" s="1"/>
  <c r="BR70" i="5"/>
  <c r="BU70" i="5" s="1"/>
  <c r="BX70" i="5" s="1"/>
  <c r="CA70" i="5" s="1"/>
  <c r="BR64" i="5"/>
  <c r="BU64" i="5" s="1"/>
  <c r="BX64" i="5" s="1"/>
  <c r="CA64" i="5" s="1"/>
  <c r="CD64" i="5" s="1"/>
  <c r="CG64" i="5" s="1"/>
  <c r="CJ64" i="5" s="1"/>
  <c r="CM64" i="5" s="1"/>
  <c r="CP64" i="5" s="1"/>
  <c r="CS64" i="5" s="1"/>
  <c r="CV64" i="5" s="1"/>
  <c r="CY64" i="5" s="1"/>
  <c r="BR62" i="5"/>
  <c r="BU62" i="5" s="1"/>
  <c r="BX62" i="5" s="1"/>
  <c r="CA62" i="5" s="1"/>
  <c r="CD62" i="5" s="1"/>
  <c r="CG62" i="5" s="1"/>
  <c r="CJ62" i="5" s="1"/>
  <c r="CM62" i="5" s="1"/>
  <c r="CP62" i="5" s="1"/>
  <c r="CS62" i="5" s="1"/>
  <c r="CV62" i="5" s="1"/>
  <c r="CY62" i="5" s="1"/>
  <c r="BR61" i="5"/>
  <c r="BU61" i="5" s="1"/>
  <c r="BX61" i="5" s="1"/>
  <c r="CA61" i="5" s="1"/>
  <c r="CD61" i="5" s="1"/>
  <c r="CG61" i="5" s="1"/>
  <c r="CJ61" i="5" s="1"/>
  <c r="CM61" i="5" s="1"/>
  <c r="CP61" i="5" s="1"/>
  <c r="CS61" i="5" s="1"/>
  <c r="CV61" i="5" s="1"/>
  <c r="CY61" i="5" s="1"/>
  <c r="BR60" i="5"/>
  <c r="BU60" i="5" s="1"/>
  <c r="BX60" i="5" s="1"/>
  <c r="CA60" i="5" s="1"/>
  <c r="CD60" i="5" s="1"/>
  <c r="CG60" i="5" s="1"/>
  <c r="CJ60" i="5" s="1"/>
  <c r="CM60" i="5" s="1"/>
  <c r="CP60" i="5" s="1"/>
  <c r="CS60" i="5" s="1"/>
  <c r="CV60" i="5" s="1"/>
  <c r="CY60" i="5" s="1"/>
  <c r="BR59" i="5"/>
  <c r="BU59" i="5" s="1"/>
  <c r="BX59" i="5" s="1"/>
  <c r="CA59" i="5" s="1"/>
  <c r="CD59" i="5" s="1"/>
  <c r="CG59" i="5" s="1"/>
  <c r="CJ59" i="5" s="1"/>
  <c r="CM59" i="5" s="1"/>
  <c r="CP59" i="5" s="1"/>
  <c r="CS59" i="5" s="1"/>
  <c r="CV59" i="5" s="1"/>
  <c r="CY59" i="5" s="1"/>
  <c r="BR56" i="5"/>
  <c r="BU56" i="5" s="1"/>
  <c r="BX56" i="5" s="1"/>
  <c r="CA56" i="5" s="1"/>
  <c r="BR51" i="5"/>
  <c r="BU51" i="5" s="1"/>
  <c r="BX51" i="5" s="1"/>
  <c r="CA51" i="5" s="1"/>
  <c r="CD51" i="5" s="1"/>
  <c r="CG51" i="5" s="1"/>
  <c r="CJ51" i="5" s="1"/>
  <c r="CM51" i="5" s="1"/>
  <c r="CP51" i="5" s="1"/>
  <c r="CS51" i="5" s="1"/>
  <c r="CV51" i="5" s="1"/>
  <c r="CY51" i="5" s="1"/>
  <c r="BR45" i="5"/>
  <c r="BU45" i="5" s="1"/>
  <c r="BR40" i="5"/>
  <c r="BR43" i="5" s="1"/>
  <c r="BR32" i="5"/>
  <c r="BU32" i="5" s="1"/>
  <c r="BR26" i="5"/>
  <c r="BU26" i="5" s="1"/>
  <c r="BR14" i="5"/>
  <c r="BR25" i="5" s="1"/>
  <c r="BR13" i="5"/>
  <c r="BR24" i="5" s="1"/>
  <c r="BR12" i="5"/>
  <c r="BU12" i="5" s="1"/>
  <c r="BX12" i="5" s="1"/>
  <c r="CA12" i="5" s="1"/>
  <c r="BR5" i="5"/>
  <c r="BR8" i="5" s="1"/>
  <c r="BR295" i="5"/>
  <c r="BR199" i="5"/>
  <c r="BR163" i="5"/>
  <c r="BR151" i="5"/>
  <c r="BQ318" i="5"/>
  <c r="BQ313" i="5"/>
  <c r="BQ306" i="5"/>
  <c r="BQ302" i="5"/>
  <c r="BQ295" i="5"/>
  <c r="BQ294" i="5"/>
  <c r="BQ260" i="5"/>
  <c r="BQ230" i="5"/>
  <c r="BQ225" i="5"/>
  <c r="BQ224" i="5"/>
  <c r="BQ223" i="5"/>
  <c r="BQ199" i="5"/>
  <c r="BQ195" i="5"/>
  <c r="BQ187" i="5"/>
  <c r="BQ188" i="5"/>
  <c r="BQ186" i="5"/>
  <c r="BQ163" i="5"/>
  <c r="BQ162" i="5"/>
  <c r="BQ151" i="5"/>
  <c r="BQ150" i="5"/>
  <c r="BQ143" i="5"/>
  <c r="BQ142" i="5"/>
  <c r="BQ139" i="5"/>
  <c r="BQ138" i="5"/>
  <c r="BQ131" i="5"/>
  <c r="BQ130" i="5"/>
  <c r="BQ129" i="5"/>
  <c r="BQ121" i="5"/>
  <c r="BQ120" i="5"/>
  <c r="BQ116" i="5"/>
  <c r="BQ115" i="5"/>
  <c r="BQ102" i="5"/>
  <c r="BQ101" i="5"/>
  <c r="BQ87" i="5"/>
  <c r="BQ81" i="5"/>
  <c r="BQ80" i="5"/>
  <c r="BQ68" i="5"/>
  <c r="BQ54" i="5"/>
  <c r="BQ43" i="5"/>
  <c r="BQ37" i="5"/>
  <c r="BQ31" i="5"/>
  <c r="BQ25" i="5"/>
  <c r="BQ24" i="5"/>
  <c r="BQ23" i="5"/>
  <c r="BQ8" i="5"/>
  <c r="BM142" i="5"/>
  <c r="C27" i="59" l="1"/>
  <c r="C27" i="60"/>
  <c r="C27" i="56"/>
  <c r="C16" i="58"/>
  <c r="U16" i="52"/>
  <c r="AA12" i="53"/>
  <c r="AA14" i="53" s="1"/>
  <c r="EG293" i="5"/>
  <c r="DN22" i="4"/>
  <c r="DN113" i="4" s="1"/>
  <c r="DN1" i="4" s="1"/>
  <c r="DQ14" i="4"/>
  <c r="DQ22" i="4" s="1"/>
  <c r="X25" i="53"/>
  <c r="U16" i="53"/>
  <c r="U25" i="53"/>
  <c r="F16" i="52"/>
  <c r="E16" i="52"/>
  <c r="C27" i="54"/>
  <c r="C16" i="54"/>
  <c r="F16" i="53"/>
  <c r="F25" i="53"/>
  <c r="E16" i="53"/>
  <c r="E25" i="53"/>
  <c r="D14" i="54"/>
  <c r="G14" i="54" s="1"/>
  <c r="DK113" i="4"/>
  <c r="DK1" i="4" s="1"/>
  <c r="X5" i="52"/>
  <c r="X9" i="52" s="1"/>
  <c r="U16" i="51"/>
  <c r="F25" i="50"/>
  <c r="E16" i="50"/>
  <c r="E16" i="51"/>
  <c r="E25" i="51"/>
  <c r="F25" i="51"/>
  <c r="F16" i="51"/>
  <c r="E25" i="49"/>
  <c r="E25" i="48"/>
  <c r="F16" i="46"/>
  <c r="F25" i="48"/>
  <c r="F16" i="48"/>
  <c r="F16" i="49"/>
  <c r="F25" i="49"/>
  <c r="D13" i="44"/>
  <c r="D17" i="44" s="1"/>
  <c r="F25" i="47"/>
  <c r="E25" i="45"/>
  <c r="E25" i="47"/>
  <c r="E25" i="46"/>
  <c r="F25" i="45"/>
  <c r="H14" i="45"/>
  <c r="F16" i="45"/>
  <c r="CY92" i="5"/>
  <c r="CS69" i="5"/>
  <c r="CV65" i="5"/>
  <c r="CY164" i="5"/>
  <c r="CE87" i="4"/>
  <c r="CH115" i="4"/>
  <c r="CK115" i="4"/>
  <c r="CN5" i="4"/>
  <c r="BY89" i="4"/>
  <c r="CB56" i="4"/>
  <c r="CE56" i="4" s="1"/>
  <c r="CH56" i="4" s="1"/>
  <c r="CK56" i="4" s="1"/>
  <c r="CN56" i="4" s="1"/>
  <c r="BY111" i="4"/>
  <c r="CB83" i="4"/>
  <c r="CE83" i="4" s="1"/>
  <c r="CH83" i="4" s="1"/>
  <c r="CK83" i="4" s="1"/>
  <c r="CN83" i="4" s="1"/>
  <c r="CE115" i="4"/>
  <c r="CE105" i="4"/>
  <c r="CR337" i="5"/>
  <c r="CO337" i="5"/>
  <c r="CL337" i="5"/>
  <c r="CB115" i="4"/>
  <c r="CI337" i="5"/>
  <c r="BR113" i="4"/>
  <c r="BS89" i="4"/>
  <c r="BY115" i="4"/>
  <c r="BV111" i="4"/>
  <c r="BV115" i="4"/>
  <c r="BV89" i="4"/>
  <c r="BS22" i="4"/>
  <c r="BV11" i="4"/>
  <c r="BY11" i="4" s="1"/>
  <c r="BV24" i="4"/>
  <c r="BS111" i="4"/>
  <c r="BR294" i="5"/>
  <c r="CF337" i="5"/>
  <c r="BR306" i="5"/>
  <c r="CG93" i="5"/>
  <c r="CJ93" i="5" s="1"/>
  <c r="CM93" i="5" s="1"/>
  <c r="CP93" i="5" s="1"/>
  <c r="CS93" i="5" s="1"/>
  <c r="CV93" i="5" s="1"/>
  <c r="CY93" i="5" s="1"/>
  <c r="CG200" i="5"/>
  <c r="CJ200" i="5" s="1"/>
  <c r="CM200" i="5" s="1"/>
  <c r="CP200" i="5" s="1"/>
  <c r="CS200" i="5" s="1"/>
  <c r="CV200" i="5" s="1"/>
  <c r="BX225" i="5"/>
  <c r="CA218" i="5"/>
  <c r="CA260" i="5"/>
  <c r="CD240" i="5"/>
  <c r="CD70" i="5"/>
  <c r="CD12" i="5"/>
  <c r="CA68" i="5"/>
  <c r="CD56" i="5"/>
  <c r="BX162" i="5"/>
  <c r="CA152" i="5"/>
  <c r="CD226" i="5"/>
  <c r="CA329" i="5"/>
  <c r="CD319" i="5"/>
  <c r="CG123" i="5"/>
  <c r="CJ123" i="5" s="1"/>
  <c r="CM123" i="5" s="1"/>
  <c r="CP123" i="5" s="1"/>
  <c r="CS123" i="5" s="1"/>
  <c r="CV123" i="5" s="1"/>
  <c r="CC337" i="5"/>
  <c r="BZ337" i="5"/>
  <c r="BR139" i="5"/>
  <c r="BR37" i="5"/>
  <c r="BR187" i="5"/>
  <c r="BR230" i="5"/>
  <c r="BR195" i="5"/>
  <c r="BU37" i="5"/>
  <c r="BX32" i="5"/>
  <c r="BU139" i="5"/>
  <c r="BX136" i="5"/>
  <c r="BX68" i="5"/>
  <c r="BU306" i="5"/>
  <c r="BX303" i="5"/>
  <c r="BU54" i="5"/>
  <c r="BX45" i="5"/>
  <c r="BU121" i="5"/>
  <c r="BX118" i="5"/>
  <c r="BU142" i="5"/>
  <c r="BX141" i="5"/>
  <c r="BU313" i="5"/>
  <c r="BX307" i="5"/>
  <c r="BU116" i="5"/>
  <c r="BX109" i="5"/>
  <c r="BU187" i="5"/>
  <c r="BX177" i="5"/>
  <c r="BU294" i="5"/>
  <c r="BX282" i="5"/>
  <c r="BU302" i="5"/>
  <c r="BX299" i="5"/>
  <c r="BU31" i="5"/>
  <c r="BX26" i="5"/>
  <c r="BU81" i="5"/>
  <c r="BX78" i="5"/>
  <c r="BR329" i="5"/>
  <c r="BU14" i="5"/>
  <c r="BR121" i="5"/>
  <c r="BX260" i="5"/>
  <c r="BX329" i="5"/>
  <c r="BW337" i="5"/>
  <c r="BR116" i="5"/>
  <c r="BU86" i="5"/>
  <c r="BU127" i="5"/>
  <c r="BU211" i="5"/>
  <c r="BR54" i="5"/>
  <c r="BU314" i="5"/>
  <c r="BS115" i="4"/>
  <c r="BU260" i="5"/>
  <c r="BR31" i="5"/>
  <c r="BT333" i="5"/>
  <c r="BU140" i="5"/>
  <c r="BR81" i="5"/>
  <c r="BR142" i="5"/>
  <c r="BR302" i="5"/>
  <c r="BR23" i="5"/>
  <c r="BR129" i="5"/>
  <c r="BT332" i="5"/>
  <c r="BU97" i="5"/>
  <c r="BU117" i="5"/>
  <c r="BU5" i="5"/>
  <c r="BU68" i="5"/>
  <c r="BU162" i="5"/>
  <c r="BU225" i="5"/>
  <c r="BT335" i="5"/>
  <c r="BU329" i="5"/>
  <c r="BR313" i="5"/>
  <c r="BR225" i="5"/>
  <c r="BU13" i="5"/>
  <c r="BU23" i="5" s="1"/>
  <c r="BU126" i="5"/>
  <c r="BU144" i="5"/>
  <c r="BU189" i="5"/>
  <c r="BU196" i="5"/>
  <c r="BU228" i="5"/>
  <c r="BU40" i="5"/>
  <c r="BT1" i="5"/>
  <c r="BR68" i="5"/>
  <c r="BR260" i="5"/>
  <c r="BR162" i="5"/>
  <c r="BQ333" i="5"/>
  <c r="BQ335" i="5"/>
  <c r="BQ293" i="5"/>
  <c r="BQ332" i="5" s="1"/>
  <c r="BO89" i="4"/>
  <c r="C7" i="53" s="1"/>
  <c r="BO111" i="4"/>
  <c r="C6" i="53" s="1"/>
  <c r="BM181" i="5"/>
  <c r="BR181" i="5" s="1"/>
  <c r="G25" i="39"/>
  <c r="C14" i="39"/>
  <c r="C25" i="39" s="1"/>
  <c r="BM203" i="5"/>
  <c r="BR203" i="5" s="1"/>
  <c r="BU203" i="5" s="1"/>
  <c r="BX203" i="5" s="1"/>
  <c r="CA203" i="5" s="1"/>
  <c r="CD203" i="5" s="1"/>
  <c r="CG203" i="5" s="1"/>
  <c r="CJ203" i="5" s="1"/>
  <c r="CM203" i="5" s="1"/>
  <c r="CP203" i="5" s="1"/>
  <c r="CS203" i="5" s="1"/>
  <c r="CV203" i="5" s="1"/>
  <c r="CY203" i="5" s="1"/>
  <c r="BM204" i="5"/>
  <c r="BR204" i="5" s="1"/>
  <c r="BU204" i="5" s="1"/>
  <c r="BX204" i="5" s="1"/>
  <c r="CA204" i="5" s="1"/>
  <c r="CD204" i="5" s="1"/>
  <c r="CG204" i="5" s="1"/>
  <c r="CJ204" i="5" s="1"/>
  <c r="CM204" i="5" s="1"/>
  <c r="CP204" i="5" s="1"/>
  <c r="CS204" i="5" s="1"/>
  <c r="CV204" i="5" s="1"/>
  <c r="CY204" i="5" s="1"/>
  <c r="BM273" i="5"/>
  <c r="BR273" i="5" s="1"/>
  <c r="BU273" i="5" s="1"/>
  <c r="BX273" i="5" s="1"/>
  <c r="CA273" i="5" s="1"/>
  <c r="CD273" i="5" s="1"/>
  <c r="CG273" i="5" s="1"/>
  <c r="CJ273" i="5" s="1"/>
  <c r="CM273" i="5" s="1"/>
  <c r="CP273" i="5" s="1"/>
  <c r="CS273" i="5" s="1"/>
  <c r="CV273" i="5" s="1"/>
  <c r="CY273" i="5" s="1"/>
  <c r="BM105" i="5"/>
  <c r="BR105" i="5" s="1"/>
  <c r="BM73" i="5"/>
  <c r="BR73" i="5" s="1"/>
  <c r="BU73" i="5" s="1"/>
  <c r="BM106" i="5"/>
  <c r="BR106" i="5" s="1"/>
  <c r="BU106" i="5" s="1"/>
  <c r="BX106" i="5" s="1"/>
  <c r="CA106" i="5" s="1"/>
  <c r="CD106" i="5" s="1"/>
  <c r="CG106" i="5" s="1"/>
  <c r="CJ106" i="5" s="1"/>
  <c r="CM106" i="5" s="1"/>
  <c r="CP106" i="5" s="1"/>
  <c r="CS106" i="5" s="1"/>
  <c r="CV106" i="5" s="1"/>
  <c r="CY106" i="5" s="1"/>
  <c r="BM74" i="5"/>
  <c r="BR74" i="5" s="1"/>
  <c r="BU74" i="5" s="1"/>
  <c r="BX74" i="5" s="1"/>
  <c r="CA74" i="5" s="1"/>
  <c r="CD74" i="5" s="1"/>
  <c r="CG74" i="5" s="1"/>
  <c r="CJ74" i="5" s="1"/>
  <c r="CM74" i="5" s="1"/>
  <c r="CP74" i="5" s="1"/>
  <c r="CS74" i="5" s="1"/>
  <c r="CV74" i="5" s="1"/>
  <c r="CY74" i="5" s="1"/>
  <c r="BM206" i="5"/>
  <c r="BR206" i="5" s="1"/>
  <c r="BU206" i="5" s="1"/>
  <c r="BX206" i="5" s="1"/>
  <c r="CA206" i="5" s="1"/>
  <c r="CD206" i="5" s="1"/>
  <c r="CG206" i="5" s="1"/>
  <c r="CJ206" i="5" s="1"/>
  <c r="CM206" i="5" s="1"/>
  <c r="CP206" i="5" s="1"/>
  <c r="CS206" i="5" s="1"/>
  <c r="CV206" i="5" s="1"/>
  <c r="CY206" i="5" s="1"/>
  <c r="BM274" i="5"/>
  <c r="BR274" i="5" s="1"/>
  <c r="BU274" i="5" s="1"/>
  <c r="BX274" i="5" s="1"/>
  <c r="CA274" i="5" s="1"/>
  <c r="CD274" i="5" s="1"/>
  <c r="CG274" i="5" s="1"/>
  <c r="CJ274" i="5" s="1"/>
  <c r="CM274" i="5" s="1"/>
  <c r="CP274" i="5" s="1"/>
  <c r="CS274" i="5" s="1"/>
  <c r="CV274" i="5" s="1"/>
  <c r="CY274" i="5" s="1"/>
  <c r="BM275" i="5"/>
  <c r="BR275" i="5" s="1"/>
  <c r="BU275" i="5" s="1"/>
  <c r="BX275" i="5" s="1"/>
  <c r="CA275" i="5" s="1"/>
  <c r="CD275" i="5" s="1"/>
  <c r="CG275" i="5" s="1"/>
  <c r="CJ275" i="5" s="1"/>
  <c r="CM275" i="5" s="1"/>
  <c r="CP275" i="5" s="1"/>
  <c r="CS275" i="5" s="1"/>
  <c r="CV275" i="5" s="1"/>
  <c r="CY275" i="5" s="1"/>
  <c r="BM95" i="5"/>
  <c r="BR95" i="5" s="1"/>
  <c r="BM134" i="5"/>
  <c r="BR134" i="5" s="1"/>
  <c r="BM207" i="5"/>
  <c r="BR207" i="5" s="1"/>
  <c r="BU207" i="5" s="1"/>
  <c r="BX207" i="5" s="1"/>
  <c r="CA207" i="5" s="1"/>
  <c r="CD207" i="5" s="1"/>
  <c r="CG207" i="5" s="1"/>
  <c r="CJ207" i="5" s="1"/>
  <c r="CM207" i="5" s="1"/>
  <c r="CP207" i="5" s="1"/>
  <c r="CS207" i="5" s="1"/>
  <c r="CV207" i="5" s="1"/>
  <c r="CY207" i="5" s="1"/>
  <c r="BM107" i="5"/>
  <c r="BR107" i="5" s="1"/>
  <c r="BU107" i="5" s="1"/>
  <c r="BX107" i="5" s="1"/>
  <c r="CA107" i="5" s="1"/>
  <c r="CD107" i="5" s="1"/>
  <c r="CG107" i="5" s="1"/>
  <c r="CJ107" i="5" s="1"/>
  <c r="CM107" i="5" s="1"/>
  <c r="CP107" i="5" s="1"/>
  <c r="CS107" i="5" s="1"/>
  <c r="CV107" i="5" s="1"/>
  <c r="CY107" i="5" s="1"/>
  <c r="BM75" i="5"/>
  <c r="BR75" i="5" s="1"/>
  <c r="BU75" i="5" s="1"/>
  <c r="BX75" i="5" s="1"/>
  <c r="CA75" i="5" s="1"/>
  <c r="CD75" i="5" s="1"/>
  <c r="CG75" i="5" s="1"/>
  <c r="CJ75" i="5" s="1"/>
  <c r="CM75" i="5" s="1"/>
  <c r="CP75" i="5" s="1"/>
  <c r="CS75" i="5" s="1"/>
  <c r="CV75" i="5" s="1"/>
  <c r="CY75" i="5" s="1"/>
  <c r="BP57" i="4"/>
  <c r="AA5" i="53" l="1"/>
  <c r="AA9" i="53" s="1"/>
  <c r="AA16" i="53" s="1"/>
  <c r="D5" i="60"/>
  <c r="D9" i="60" s="1"/>
  <c r="D5" i="61"/>
  <c r="D9" i="61" s="1"/>
  <c r="D5" i="59"/>
  <c r="D9" i="59" s="1"/>
  <c r="D5" i="58"/>
  <c r="D9" i="58" s="1"/>
  <c r="D5" i="56"/>
  <c r="D5" i="54"/>
  <c r="DQ113" i="4"/>
  <c r="DQ1" i="4" s="1"/>
  <c r="C6" i="51"/>
  <c r="C6" i="52"/>
  <c r="C7" i="51"/>
  <c r="C7" i="52"/>
  <c r="X16" i="52"/>
  <c r="X25" i="52"/>
  <c r="CB111" i="4"/>
  <c r="C7" i="48"/>
  <c r="C7" i="50"/>
  <c r="C7" i="49"/>
  <c r="C6" i="48"/>
  <c r="C6" i="50"/>
  <c r="C6" i="49"/>
  <c r="C7" i="47"/>
  <c r="C7" i="46"/>
  <c r="C6" i="47"/>
  <c r="C6" i="46"/>
  <c r="C7" i="14"/>
  <c r="C7" i="45"/>
  <c r="G7" i="45" s="1"/>
  <c r="C6" i="14"/>
  <c r="C6" i="45"/>
  <c r="G6" i="45" s="1"/>
  <c r="CB89" i="4"/>
  <c r="CY123" i="5"/>
  <c r="CV69" i="5"/>
  <c r="CY65" i="5"/>
  <c r="CY69" i="5" s="1"/>
  <c r="CY200" i="5"/>
  <c r="CE111" i="4"/>
  <c r="CH105" i="4"/>
  <c r="CH87" i="4"/>
  <c r="CE89" i="4"/>
  <c r="CN115" i="4"/>
  <c r="BY22" i="4"/>
  <c r="CB11" i="4"/>
  <c r="BY24" i="4"/>
  <c r="CB24" i="4" s="1"/>
  <c r="BV22" i="4"/>
  <c r="BX139" i="5"/>
  <c r="CA136" i="5"/>
  <c r="CD329" i="5"/>
  <c r="CG319" i="5"/>
  <c r="CA162" i="5"/>
  <c r="CD152" i="5"/>
  <c r="CG12" i="5"/>
  <c r="CJ12" i="5" s="1"/>
  <c r="CM12" i="5" s="1"/>
  <c r="CA225" i="5"/>
  <c r="CD218" i="5"/>
  <c r="BX81" i="5"/>
  <c r="CA78" i="5"/>
  <c r="BX187" i="5"/>
  <c r="CA177" i="5"/>
  <c r="BX121" i="5"/>
  <c r="CA118" i="5"/>
  <c r="BX31" i="5"/>
  <c r="CA26" i="5"/>
  <c r="BX294" i="5"/>
  <c r="CA282" i="5"/>
  <c r="BX116" i="5"/>
  <c r="CA109" i="5"/>
  <c r="BX142" i="5"/>
  <c r="CA141" i="5"/>
  <c r="BX54" i="5"/>
  <c r="CA45" i="5"/>
  <c r="CG70" i="5"/>
  <c r="CJ70" i="5" s="1"/>
  <c r="CM70" i="5" s="1"/>
  <c r="CP70" i="5" s="1"/>
  <c r="CS70" i="5" s="1"/>
  <c r="CV70" i="5" s="1"/>
  <c r="BX302" i="5"/>
  <c r="CA299" i="5"/>
  <c r="BX313" i="5"/>
  <c r="CA307" i="5"/>
  <c r="BX306" i="5"/>
  <c r="CA303" i="5"/>
  <c r="BX37" i="5"/>
  <c r="CA32" i="5"/>
  <c r="CG226" i="5"/>
  <c r="CJ226" i="5" s="1"/>
  <c r="CM226" i="5" s="1"/>
  <c r="CP226" i="5" s="1"/>
  <c r="CS226" i="5" s="1"/>
  <c r="CV226" i="5" s="1"/>
  <c r="CD68" i="5"/>
  <c r="CG56" i="5"/>
  <c r="CD260" i="5"/>
  <c r="CG240" i="5"/>
  <c r="BT337" i="5"/>
  <c r="BR333" i="5"/>
  <c r="BU150" i="5"/>
  <c r="BX144" i="5"/>
  <c r="BU43" i="5"/>
  <c r="BX40" i="5"/>
  <c r="BU195" i="5"/>
  <c r="BX189" i="5"/>
  <c r="BU120" i="5"/>
  <c r="BX117" i="5"/>
  <c r="BU143" i="5"/>
  <c r="BX140" i="5"/>
  <c r="BU318" i="5"/>
  <c r="BX314" i="5"/>
  <c r="BX86" i="5"/>
  <c r="BU87" i="5"/>
  <c r="BU25" i="5"/>
  <c r="BX14" i="5"/>
  <c r="BU197" i="5"/>
  <c r="BX196" i="5"/>
  <c r="BU24" i="5"/>
  <c r="BX13" i="5"/>
  <c r="CA13" i="5" s="1"/>
  <c r="BU8" i="5"/>
  <c r="BX5" i="5"/>
  <c r="BU131" i="5"/>
  <c r="BX127" i="5"/>
  <c r="BU102" i="5"/>
  <c r="BX97" i="5"/>
  <c r="BU80" i="5"/>
  <c r="BX73" i="5"/>
  <c r="BU230" i="5"/>
  <c r="BX228" i="5"/>
  <c r="BU130" i="5"/>
  <c r="BX126" i="5"/>
  <c r="CA126" i="5" s="1"/>
  <c r="BU224" i="5"/>
  <c r="BX211" i="5"/>
  <c r="CA211" i="5" s="1"/>
  <c r="BU223" i="5"/>
  <c r="BR138" i="5"/>
  <c r="BU134" i="5"/>
  <c r="BR115" i="5"/>
  <c r="BU105" i="5"/>
  <c r="BU129" i="5"/>
  <c r="BR188" i="5"/>
  <c r="BR335" i="5" s="1"/>
  <c r="BU181" i="5"/>
  <c r="BR101" i="5"/>
  <c r="BU95" i="5"/>
  <c r="BR223" i="5"/>
  <c r="BR80" i="5"/>
  <c r="BQ337" i="5"/>
  <c r="BQ1" i="5"/>
  <c r="BM260" i="5"/>
  <c r="AH260" i="5"/>
  <c r="AH340" i="5"/>
  <c r="AI286" i="5"/>
  <c r="D14" i="34"/>
  <c r="E14" i="34"/>
  <c r="F14" i="34"/>
  <c r="D15" i="34"/>
  <c r="C14" i="34"/>
  <c r="E11" i="34"/>
  <c r="F11" i="34"/>
  <c r="E12" i="34"/>
  <c r="F12" i="34"/>
  <c r="E6" i="34"/>
  <c r="F6" i="34"/>
  <c r="E7" i="34"/>
  <c r="F7" i="34"/>
  <c r="E8" i="34"/>
  <c r="F8" i="34"/>
  <c r="E9" i="34"/>
  <c r="F9" i="34"/>
  <c r="C5" i="34"/>
  <c r="D20" i="33"/>
  <c r="F21" i="33"/>
  <c r="D22" i="33"/>
  <c r="E22" i="33"/>
  <c r="F22" i="33"/>
  <c r="C21" i="33"/>
  <c r="C22" i="33"/>
  <c r="BM166" i="5"/>
  <c r="BR166" i="5" s="1"/>
  <c r="BU166" i="5" s="1"/>
  <c r="BX166" i="5" s="1"/>
  <c r="CA166" i="5" s="1"/>
  <c r="BJ329" i="5"/>
  <c r="BM318" i="5"/>
  <c r="BJ318" i="5"/>
  <c r="BM313" i="5"/>
  <c r="BJ313" i="5"/>
  <c r="BM295" i="5"/>
  <c r="BJ295" i="5"/>
  <c r="BH295" i="5"/>
  <c r="BM294" i="5"/>
  <c r="BJ294" i="5"/>
  <c r="BJ293" i="5"/>
  <c r="BJ260" i="5"/>
  <c r="BM230" i="5"/>
  <c r="BJ230" i="5"/>
  <c r="BM225" i="5"/>
  <c r="BJ225" i="5"/>
  <c r="BM224" i="5"/>
  <c r="BJ224" i="5"/>
  <c r="BM223" i="5"/>
  <c r="BJ223" i="5"/>
  <c r="BJ195" i="5"/>
  <c r="BM195" i="5"/>
  <c r="BM188" i="5"/>
  <c r="BM187" i="5"/>
  <c r="BJ186" i="5"/>
  <c r="BJ188" i="5"/>
  <c r="BJ187" i="5"/>
  <c r="BJ162" i="5"/>
  <c r="BJ151" i="5"/>
  <c r="BJ150" i="5"/>
  <c r="BJ138" i="5"/>
  <c r="BJ129" i="5"/>
  <c r="BM131" i="5"/>
  <c r="BH131" i="5"/>
  <c r="BJ116" i="5"/>
  <c r="BJ115" i="5"/>
  <c r="BJ102" i="5"/>
  <c r="BJ101" i="5"/>
  <c r="BJ80" i="5"/>
  <c r="BJ81" i="5"/>
  <c r="BJ68" i="5"/>
  <c r="BJ43" i="5"/>
  <c r="BJ37" i="5"/>
  <c r="BJ25" i="5"/>
  <c r="BJ24" i="5"/>
  <c r="BJ23" i="5"/>
  <c r="BJ8" i="5"/>
  <c r="BM262" i="5"/>
  <c r="BM261" i="5"/>
  <c r="BM167" i="5"/>
  <c r="BR167" i="5" s="1"/>
  <c r="BU167" i="5" s="1"/>
  <c r="BX167" i="5" s="1"/>
  <c r="CA167" i="5" s="1"/>
  <c r="CD167" i="5" s="1"/>
  <c r="CG167" i="5" s="1"/>
  <c r="CJ167" i="5" s="1"/>
  <c r="CM167" i="5" s="1"/>
  <c r="CP167" i="5" s="1"/>
  <c r="CS167" i="5" s="1"/>
  <c r="CV167" i="5" s="1"/>
  <c r="CY167" i="5" s="1"/>
  <c r="AA25" i="53" l="1"/>
  <c r="D16" i="61"/>
  <c r="D27" i="61"/>
  <c r="D16" i="60"/>
  <c r="D27" i="60"/>
  <c r="D9" i="56"/>
  <c r="G5" i="56"/>
  <c r="D27" i="58"/>
  <c r="D16" i="58"/>
  <c r="D27" i="59"/>
  <c r="D16" i="59"/>
  <c r="D9" i="54"/>
  <c r="D27" i="54" s="1"/>
  <c r="G5" i="54"/>
  <c r="CY70" i="5"/>
  <c r="CY226" i="5"/>
  <c r="CH111" i="4"/>
  <c r="CK105" i="4"/>
  <c r="CK87" i="4"/>
  <c r="CH89" i="4"/>
  <c r="CE24" i="4"/>
  <c r="CB22" i="4"/>
  <c r="CE11" i="4"/>
  <c r="CP12" i="5"/>
  <c r="CS12" i="5" s="1"/>
  <c r="CV12" i="5" s="1"/>
  <c r="CG68" i="5"/>
  <c r="CJ56" i="5"/>
  <c r="CG260" i="5"/>
  <c r="CJ240" i="5"/>
  <c r="CG329" i="5"/>
  <c r="CJ319" i="5"/>
  <c r="CA54" i="5"/>
  <c r="CD45" i="5"/>
  <c r="CA224" i="5"/>
  <c r="CD211" i="5"/>
  <c r="CA142" i="5"/>
  <c r="CD141" i="5"/>
  <c r="CA294" i="5"/>
  <c r="CD282" i="5"/>
  <c r="CA121" i="5"/>
  <c r="CD118" i="5"/>
  <c r="CA81" i="5"/>
  <c r="CD78" i="5"/>
  <c r="CA223" i="5"/>
  <c r="BX197" i="5"/>
  <c r="CA196" i="5"/>
  <c r="CA130" i="5"/>
  <c r="CD126" i="5"/>
  <c r="CA129" i="5"/>
  <c r="BX80" i="5"/>
  <c r="CA73" i="5"/>
  <c r="BX131" i="5"/>
  <c r="CA127" i="5"/>
  <c r="CA24" i="5"/>
  <c r="CD13" i="5"/>
  <c r="CA23" i="5"/>
  <c r="BX25" i="5"/>
  <c r="CA14" i="5"/>
  <c r="BX318" i="5"/>
  <c r="CA314" i="5"/>
  <c r="BX120" i="5"/>
  <c r="CA117" i="5"/>
  <c r="BX43" i="5"/>
  <c r="CA40" i="5"/>
  <c r="CA37" i="5"/>
  <c r="CD32" i="5"/>
  <c r="CA313" i="5"/>
  <c r="CD307" i="5"/>
  <c r="CD225" i="5"/>
  <c r="CG218" i="5"/>
  <c r="CD162" i="5"/>
  <c r="CG152" i="5"/>
  <c r="CA139" i="5"/>
  <c r="CD136" i="5"/>
  <c r="CA187" i="5"/>
  <c r="CD177" i="5"/>
  <c r="CA186" i="5"/>
  <c r="CD166" i="5"/>
  <c r="BX87" i="5"/>
  <c r="CA86" i="5"/>
  <c r="CA116" i="5"/>
  <c r="CD109" i="5"/>
  <c r="CA31" i="5"/>
  <c r="CD26" i="5"/>
  <c r="BX230" i="5"/>
  <c r="CA228" i="5"/>
  <c r="BX102" i="5"/>
  <c r="CA97" i="5"/>
  <c r="BX8" i="5"/>
  <c r="CA5" i="5"/>
  <c r="BX143" i="5"/>
  <c r="CA140" i="5"/>
  <c r="BX195" i="5"/>
  <c r="CA189" i="5"/>
  <c r="BX150" i="5"/>
  <c r="CA144" i="5"/>
  <c r="CD303" i="5"/>
  <c r="CA306" i="5"/>
  <c r="CA302" i="5"/>
  <c r="CD299" i="5"/>
  <c r="BX130" i="5"/>
  <c r="BX129" i="5"/>
  <c r="BX24" i="5"/>
  <c r="BX23" i="5"/>
  <c r="BU101" i="5"/>
  <c r="BX95" i="5"/>
  <c r="BU138" i="5"/>
  <c r="BX134" i="5"/>
  <c r="BX224" i="5"/>
  <c r="BX223" i="5"/>
  <c r="BU333" i="5"/>
  <c r="BX186" i="5"/>
  <c r="BU188" i="5"/>
  <c r="BU335" i="5" s="1"/>
  <c r="BX181" i="5"/>
  <c r="BU115" i="5"/>
  <c r="BX105" i="5"/>
  <c r="BU186" i="5"/>
  <c r="BN262" i="5"/>
  <c r="BR262" i="5"/>
  <c r="BU262" i="5" s="1"/>
  <c r="BX262" i="5" s="1"/>
  <c r="CA262" i="5" s="1"/>
  <c r="CD262" i="5" s="1"/>
  <c r="CG262" i="5" s="1"/>
  <c r="CJ262" i="5" s="1"/>
  <c r="CM262" i="5" s="1"/>
  <c r="CP262" i="5" s="1"/>
  <c r="CS262" i="5" s="1"/>
  <c r="CV262" i="5" s="1"/>
  <c r="CY262" i="5" s="1"/>
  <c r="BM263" i="5"/>
  <c r="BR263" i="5" s="1"/>
  <c r="BU263" i="5" s="1"/>
  <c r="BX263" i="5" s="1"/>
  <c r="CA263" i="5" s="1"/>
  <c r="CD263" i="5" s="1"/>
  <c r="BR261" i="5"/>
  <c r="BU261" i="5" s="1"/>
  <c r="BX261" i="5" s="1"/>
  <c r="CA261" i="5" s="1"/>
  <c r="BR186" i="5"/>
  <c r="BM264" i="5"/>
  <c r="BM186" i="5"/>
  <c r="BN260" i="5"/>
  <c r="BN159" i="5"/>
  <c r="BP87" i="4"/>
  <c r="BP84" i="4"/>
  <c r="BP83" i="4"/>
  <c r="BP82" i="4"/>
  <c r="BP81" i="4"/>
  <c r="BP80" i="4"/>
  <c r="BP79" i="4"/>
  <c r="BP66" i="4"/>
  <c r="BP61" i="4"/>
  <c r="BP56" i="4"/>
  <c r="BP38" i="4"/>
  <c r="BP35" i="4"/>
  <c r="BP28" i="4"/>
  <c r="BP27" i="4"/>
  <c r="BP24" i="4"/>
  <c r="BP21" i="4"/>
  <c r="BP16" i="4"/>
  <c r="BP15" i="4"/>
  <c r="BP13" i="4"/>
  <c r="BP12" i="4"/>
  <c r="BP14" i="4"/>
  <c r="BP11" i="4"/>
  <c r="BP10" i="4"/>
  <c r="BP8" i="4"/>
  <c r="BP7" i="4"/>
  <c r="BP6" i="4"/>
  <c r="BP5" i="4"/>
  <c r="BO25" i="4"/>
  <c r="BP25" i="4" s="1"/>
  <c r="BO115" i="4"/>
  <c r="BO22" i="4"/>
  <c r="C5" i="53" s="1"/>
  <c r="BO295" i="5"/>
  <c r="BN295" i="5"/>
  <c r="BO131" i="5"/>
  <c r="BN318" i="5"/>
  <c r="BN326" i="5"/>
  <c r="BN325" i="5"/>
  <c r="BN324" i="5"/>
  <c r="BO320" i="5"/>
  <c r="BN320" i="5"/>
  <c r="BN319" i="5"/>
  <c r="BN314" i="5"/>
  <c r="BO310" i="5"/>
  <c r="BN310" i="5"/>
  <c r="BO309" i="5"/>
  <c r="BN309" i="5"/>
  <c r="BN307" i="5"/>
  <c r="BN303" i="5"/>
  <c r="BN299" i="5"/>
  <c r="BN288" i="5"/>
  <c r="BN287" i="5"/>
  <c r="BN286" i="5"/>
  <c r="BN285" i="5"/>
  <c r="BN284" i="5"/>
  <c r="BN283" i="5"/>
  <c r="BN282" i="5"/>
  <c r="BN281" i="5"/>
  <c r="BN280" i="5"/>
  <c r="BN279" i="5"/>
  <c r="BN278" i="5"/>
  <c r="BN277" i="5"/>
  <c r="BN276" i="5"/>
  <c r="BN275" i="5"/>
  <c r="BN274" i="5"/>
  <c r="BN273" i="5"/>
  <c r="BN271" i="5"/>
  <c r="BN270" i="5"/>
  <c r="BN269" i="5"/>
  <c r="BN268" i="5"/>
  <c r="BN267" i="5"/>
  <c r="BN265" i="5"/>
  <c r="BN261" i="5"/>
  <c r="BO229" i="5"/>
  <c r="BN229" i="5"/>
  <c r="BN228" i="5"/>
  <c r="BN227" i="5"/>
  <c r="BN226" i="5"/>
  <c r="BN220" i="5"/>
  <c r="BN218" i="5"/>
  <c r="BN216" i="5"/>
  <c r="BN215" i="5"/>
  <c r="BO214" i="5"/>
  <c r="BN214" i="5"/>
  <c r="BN213" i="5"/>
  <c r="BN212" i="5"/>
  <c r="BN211" i="5"/>
  <c r="BN210" i="5"/>
  <c r="BN209" i="5"/>
  <c r="BN208" i="5"/>
  <c r="BN207" i="5"/>
  <c r="BN206" i="5"/>
  <c r="BN205" i="5"/>
  <c r="BN204" i="5"/>
  <c r="BN203" i="5"/>
  <c r="BN201" i="5"/>
  <c r="BN200" i="5"/>
  <c r="BN198" i="5"/>
  <c r="BN191" i="5"/>
  <c r="BN190" i="5"/>
  <c r="BN189" i="5"/>
  <c r="BN181" i="5"/>
  <c r="BN180" i="5"/>
  <c r="BN178" i="5"/>
  <c r="BN177" i="5"/>
  <c r="BN176" i="5"/>
  <c r="BN175" i="5"/>
  <c r="BN174" i="5"/>
  <c r="BN172" i="5"/>
  <c r="BN171" i="5"/>
  <c r="BN170" i="5"/>
  <c r="BN169" i="5"/>
  <c r="BN168" i="5"/>
  <c r="BN167" i="5"/>
  <c r="BN166" i="5"/>
  <c r="BN165" i="5"/>
  <c r="BN164" i="5"/>
  <c r="BN158" i="5"/>
  <c r="BN155" i="5"/>
  <c r="BN152" i="5"/>
  <c r="BN147" i="5"/>
  <c r="BN145" i="5"/>
  <c r="BN144" i="5"/>
  <c r="BN140" i="5"/>
  <c r="BN136" i="5"/>
  <c r="BN134" i="5"/>
  <c r="BN126" i="5"/>
  <c r="BN125" i="5"/>
  <c r="BN123" i="5"/>
  <c r="BN112" i="5"/>
  <c r="BN111" i="5"/>
  <c r="BN110" i="5"/>
  <c r="BN109" i="5"/>
  <c r="BN108" i="5"/>
  <c r="BN107" i="5"/>
  <c r="BN106" i="5"/>
  <c r="BN105" i="5"/>
  <c r="BN97" i="5"/>
  <c r="BN95" i="5"/>
  <c r="BN94" i="5"/>
  <c r="BN93" i="5"/>
  <c r="BN92" i="5"/>
  <c r="BN86" i="5"/>
  <c r="BN78" i="5"/>
  <c r="BN77" i="5"/>
  <c r="BN76" i="5"/>
  <c r="BN75" i="5"/>
  <c r="BN74" i="5"/>
  <c r="BN73" i="5"/>
  <c r="BN72" i="5"/>
  <c r="BN71" i="5"/>
  <c r="BN70" i="5"/>
  <c r="BN64" i="5"/>
  <c r="BN62" i="5"/>
  <c r="BN61" i="5"/>
  <c r="BN60" i="5"/>
  <c r="BN59" i="5"/>
  <c r="BN56" i="5"/>
  <c r="BN51" i="5"/>
  <c r="BN45" i="5"/>
  <c r="BN40" i="5"/>
  <c r="BN32" i="5"/>
  <c r="BN26" i="5"/>
  <c r="BN20" i="5"/>
  <c r="BN13" i="5"/>
  <c r="BN12" i="5"/>
  <c r="BN5" i="5"/>
  <c r="BM329" i="5"/>
  <c r="BN329" i="5" s="1"/>
  <c r="BN313" i="5"/>
  <c r="BM306" i="5"/>
  <c r="BM302" i="5"/>
  <c r="BN225" i="5"/>
  <c r="BM199" i="5"/>
  <c r="BN188" i="5"/>
  <c r="BM163" i="5"/>
  <c r="BM162" i="5"/>
  <c r="BN162" i="5" s="1"/>
  <c r="BM151" i="5"/>
  <c r="BN151" i="5" s="1"/>
  <c r="BM150" i="5"/>
  <c r="BN150" i="5" s="1"/>
  <c r="BM143" i="5"/>
  <c r="BM139" i="5"/>
  <c r="BM138" i="5"/>
  <c r="BM130" i="5"/>
  <c r="BM129" i="5"/>
  <c r="BM121" i="5"/>
  <c r="BM120" i="5"/>
  <c r="BM116" i="5"/>
  <c r="BN116" i="5" s="1"/>
  <c r="BM115" i="5"/>
  <c r="BN115" i="5" s="1"/>
  <c r="BM102" i="5"/>
  <c r="BM101" i="5"/>
  <c r="BN101" i="5" s="1"/>
  <c r="BM87" i="5"/>
  <c r="BM81" i="5"/>
  <c r="BM80" i="5"/>
  <c r="BN80" i="5" s="1"/>
  <c r="BM68" i="5"/>
  <c r="BN68" i="5" s="1"/>
  <c r="BM54" i="5"/>
  <c r="BM43" i="5"/>
  <c r="BN43" i="5" s="1"/>
  <c r="BM37" i="5"/>
  <c r="BN37" i="5" s="1"/>
  <c r="BM31" i="5"/>
  <c r="BM25" i="5"/>
  <c r="BM24" i="5"/>
  <c r="BM23" i="5"/>
  <c r="BN23" i="5" s="1"/>
  <c r="BM8" i="5"/>
  <c r="BK295" i="5"/>
  <c r="G9" i="54" l="1"/>
  <c r="D16" i="54"/>
  <c r="D27" i="56"/>
  <c r="D16" i="56"/>
  <c r="G9" i="56"/>
  <c r="C5" i="51"/>
  <c r="C5" i="52"/>
  <c r="C5" i="48"/>
  <c r="C5" i="50"/>
  <c r="C5" i="49"/>
  <c r="C5" i="47"/>
  <c r="C5" i="46"/>
  <c r="C5" i="14"/>
  <c r="C5" i="45"/>
  <c r="CY12" i="5"/>
  <c r="CH24" i="4"/>
  <c r="CK111" i="4"/>
  <c r="CN105" i="4"/>
  <c r="CN111" i="4" s="1"/>
  <c r="D6" i="53" s="1"/>
  <c r="CK89" i="4"/>
  <c r="CN87" i="4"/>
  <c r="CN89" i="4" s="1"/>
  <c r="D7" i="53" s="1"/>
  <c r="CH11" i="4"/>
  <c r="CE22" i="4"/>
  <c r="CJ68" i="5"/>
  <c r="CM56" i="5"/>
  <c r="CJ329" i="5"/>
  <c r="CM319" i="5"/>
  <c r="CJ260" i="5"/>
  <c r="CM240" i="5"/>
  <c r="CG225" i="5"/>
  <c r="CJ218" i="5"/>
  <c r="CG162" i="5"/>
  <c r="CJ152" i="5"/>
  <c r="BO33" i="4"/>
  <c r="C8" i="53" s="1"/>
  <c r="C9" i="53" s="1"/>
  <c r="BS25" i="4"/>
  <c r="BX188" i="5"/>
  <c r="BX335" i="5" s="1"/>
  <c r="CA181" i="5"/>
  <c r="BX101" i="5"/>
  <c r="CA95" i="5"/>
  <c r="CD313" i="5"/>
  <c r="CG307" i="5"/>
  <c r="CA120" i="5"/>
  <c r="CD117" i="5"/>
  <c r="CA25" i="5"/>
  <c r="CD14" i="5"/>
  <c r="CD196" i="5"/>
  <c r="CA197" i="5"/>
  <c r="CD302" i="5"/>
  <c r="CG299" i="5"/>
  <c r="CD144" i="5"/>
  <c r="CA150" i="5"/>
  <c r="CA143" i="5"/>
  <c r="CD140" i="5"/>
  <c r="CA102" i="5"/>
  <c r="CA333" i="5" s="1"/>
  <c r="CD97" i="5"/>
  <c r="CD116" i="5"/>
  <c r="CG109" i="5"/>
  <c r="CA87" i="5"/>
  <c r="CD86" i="5"/>
  <c r="CD187" i="5"/>
  <c r="CG177" i="5"/>
  <c r="CG13" i="5"/>
  <c r="CJ13" i="5" s="1"/>
  <c r="CM13" i="5" s="1"/>
  <c r="CD24" i="5"/>
  <c r="CD23" i="5"/>
  <c r="CD73" i="5"/>
  <c r="CA80" i="5"/>
  <c r="CD121" i="5"/>
  <c r="CG118" i="5"/>
  <c r="CG141" i="5"/>
  <c r="CD142" i="5"/>
  <c r="CD54" i="5"/>
  <c r="CG45" i="5"/>
  <c r="BX138" i="5"/>
  <c r="CA134" i="5"/>
  <c r="CA43" i="5"/>
  <c r="CD40" i="5"/>
  <c r="CD130" i="5"/>
  <c r="CG126" i="5"/>
  <c r="CJ126" i="5" s="1"/>
  <c r="CM126" i="5" s="1"/>
  <c r="CD129" i="5"/>
  <c r="CG263" i="5"/>
  <c r="CJ263" i="5" s="1"/>
  <c r="CM263" i="5" s="1"/>
  <c r="CP263" i="5" s="1"/>
  <c r="CS263" i="5" s="1"/>
  <c r="CV263" i="5" s="1"/>
  <c r="CY263" i="5" s="1"/>
  <c r="BX115" i="5"/>
  <c r="CA105" i="5"/>
  <c r="CD306" i="5"/>
  <c r="CG303" i="5"/>
  <c r="CD139" i="5"/>
  <c r="CG136" i="5"/>
  <c r="CG32" i="5"/>
  <c r="CD37" i="5"/>
  <c r="CA318" i="5"/>
  <c r="CD314" i="5"/>
  <c r="CD261" i="5"/>
  <c r="CG261" i="5" s="1"/>
  <c r="CJ261" i="5" s="1"/>
  <c r="CM261" i="5" s="1"/>
  <c r="CP261" i="5" s="1"/>
  <c r="CS261" i="5" s="1"/>
  <c r="CV261" i="5" s="1"/>
  <c r="CA195" i="5"/>
  <c r="CD189" i="5"/>
  <c r="CD5" i="5"/>
  <c r="CA8" i="5"/>
  <c r="CD228" i="5"/>
  <c r="CA230" i="5"/>
  <c r="CD31" i="5"/>
  <c r="CG26" i="5"/>
  <c r="CG166" i="5"/>
  <c r="CJ166" i="5" s="1"/>
  <c r="CM166" i="5" s="1"/>
  <c r="CP166" i="5" s="1"/>
  <c r="CS166" i="5" s="1"/>
  <c r="CV166" i="5" s="1"/>
  <c r="CD186" i="5"/>
  <c r="CA131" i="5"/>
  <c r="CD127" i="5"/>
  <c r="CD81" i="5"/>
  <c r="CG78" i="5"/>
  <c r="CD294" i="5"/>
  <c r="CG282" i="5"/>
  <c r="CD224" i="5"/>
  <c r="CG211" i="5"/>
  <c r="CJ211" i="5" s="1"/>
  <c r="CM211" i="5" s="1"/>
  <c r="CP211" i="5" s="1"/>
  <c r="CS211" i="5" s="1"/>
  <c r="CV211" i="5" s="1"/>
  <c r="CD223" i="5"/>
  <c r="BX333" i="5"/>
  <c r="F7" i="33"/>
  <c r="F6" i="33"/>
  <c r="BN263" i="5"/>
  <c r="BN264" i="5"/>
  <c r="BR264" i="5"/>
  <c r="BU264" i="5" s="1"/>
  <c r="BM293" i="5"/>
  <c r="BN293" i="5" s="1"/>
  <c r="BM335" i="5"/>
  <c r="BN24" i="5"/>
  <c r="BN8" i="5"/>
  <c r="BN25" i="5"/>
  <c r="BN102" i="5"/>
  <c r="BN294" i="5"/>
  <c r="BN230" i="5"/>
  <c r="BN223" i="5"/>
  <c r="BN224" i="5"/>
  <c r="BN195" i="5"/>
  <c r="BN186" i="5"/>
  <c r="BN187" i="5"/>
  <c r="BN138" i="5"/>
  <c r="BN129" i="5"/>
  <c r="BN81" i="5"/>
  <c r="BM333" i="5"/>
  <c r="BM101" i="4"/>
  <c r="BM100" i="4"/>
  <c r="BJ306" i="5"/>
  <c r="BN306" i="5" s="1"/>
  <c r="BJ302" i="5"/>
  <c r="BJ199" i="5"/>
  <c r="BJ163" i="5"/>
  <c r="BJ143" i="5"/>
  <c r="BJ131" i="5"/>
  <c r="BJ130" i="5"/>
  <c r="BN130" i="5" s="1"/>
  <c r="BJ121" i="5"/>
  <c r="BN121" i="5" s="1"/>
  <c r="BJ120" i="5"/>
  <c r="BJ87" i="5"/>
  <c r="BJ54" i="5"/>
  <c r="BJ31" i="5"/>
  <c r="BL115" i="4"/>
  <c r="BP115" i="4" s="1"/>
  <c r="BL111" i="4"/>
  <c r="BL89" i="4"/>
  <c r="BL33" i="4"/>
  <c r="BL22" i="4"/>
  <c r="BG329" i="5"/>
  <c r="BH326" i="5"/>
  <c r="BH290" i="5"/>
  <c r="BK290" i="5" s="1"/>
  <c r="BG151" i="5"/>
  <c r="BG150" i="5"/>
  <c r="BH144" i="5"/>
  <c r="BH140" i="5"/>
  <c r="BG143" i="5"/>
  <c r="BE143" i="5"/>
  <c r="BD143" i="5"/>
  <c r="BB143" i="5"/>
  <c r="BA143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H143" i="5"/>
  <c r="AG143" i="5"/>
  <c r="AE143" i="5"/>
  <c r="L143" i="5"/>
  <c r="N143" i="5" s="1"/>
  <c r="AB143" i="5"/>
  <c r="AA143" i="5"/>
  <c r="Y143" i="5"/>
  <c r="T143" i="5"/>
  <c r="S143" i="5"/>
  <c r="R143" i="5"/>
  <c r="Q143" i="5"/>
  <c r="BG318" i="5"/>
  <c r="BG313" i="5"/>
  <c r="BG306" i="5"/>
  <c r="BG302" i="5"/>
  <c r="BG295" i="5"/>
  <c r="BG294" i="5"/>
  <c r="BG293" i="5"/>
  <c r="BG260" i="5"/>
  <c r="BG230" i="5"/>
  <c r="BG225" i="5"/>
  <c r="BG224" i="5"/>
  <c r="BG223" i="5"/>
  <c r="BG199" i="5"/>
  <c r="BG195" i="5"/>
  <c r="BG188" i="5"/>
  <c r="BG187" i="5"/>
  <c r="BG186" i="5"/>
  <c r="BG163" i="5"/>
  <c r="BG162" i="5"/>
  <c r="BG139" i="5"/>
  <c r="BG138" i="5"/>
  <c r="BG131" i="5"/>
  <c r="BG130" i="5"/>
  <c r="BG129" i="5"/>
  <c r="BH121" i="5"/>
  <c r="BO121" i="5" s="1"/>
  <c r="BG121" i="5"/>
  <c r="BH120" i="5"/>
  <c r="BO120" i="5" s="1"/>
  <c r="BG120" i="5"/>
  <c r="BG116" i="5"/>
  <c r="BG115" i="5"/>
  <c r="BG102" i="5"/>
  <c r="BG101" i="5"/>
  <c r="BG87" i="5"/>
  <c r="BG81" i="5"/>
  <c r="BG80" i="5"/>
  <c r="BG68" i="5"/>
  <c r="BG54" i="5"/>
  <c r="BG43" i="5"/>
  <c r="BG37" i="5"/>
  <c r="BG31" i="5"/>
  <c r="BG25" i="5"/>
  <c r="BG24" i="5"/>
  <c r="BG23" i="5"/>
  <c r="BG8" i="5"/>
  <c r="C13" i="52" l="1"/>
  <c r="C13" i="53"/>
  <c r="C8" i="51"/>
  <c r="C9" i="51" s="1"/>
  <c r="C8" i="52"/>
  <c r="C9" i="52" s="1"/>
  <c r="D7" i="51"/>
  <c r="D7" i="52"/>
  <c r="D6" i="51"/>
  <c r="D6" i="52"/>
  <c r="C13" i="50"/>
  <c r="C13" i="51"/>
  <c r="D6" i="48"/>
  <c r="D6" i="50"/>
  <c r="D6" i="49"/>
  <c r="C8" i="48"/>
  <c r="C9" i="48" s="1"/>
  <c r="C8" i="49"/>
  <c r="C9" i="49" s="1"/>
  <c r="C8" i="50"/>
  <c r="C9" i="50" s="1"/>
  <c r="D7" i="48"/>
  <c r="D7" i="49"/>
  <c r="D7" i="50"/>
  <c r="C13" i="48"/>
  <c r="C13" i="49"/>
  <c r="C8" i="47"/>
  <c r="C9" i="47" s="1"/>
  <c r="C8" i="46"/>
  <c r="C9" i="46" s="1"/>
  <c r="D7" i="47"/>
  <c r="D7" i="46"/>
  <c r="D6" i="47"/>
  <c r="D6" i="46"/>
  <c r="C13" i="14"/>
  <c r="C13" i="47"/>
  <c r="C13" i="46"/>
  <c r="C13" i="45"/>
  <c r="G13" i="45" s="1"/>
  <c r="C8" i="14"/>
  <c r="C8" i="45"/>
  <c r="G8" i="45" s="1"/>
  <c r="D6" i="14"/>
  <c r="D6" i="45"/>
  <c r="G5" i="45"/>
  <c r="D7" i="14"/>
  <c r="D7" i="45"/>
  <c r="CY261" i="5"/>
  <c r="CY166" i="5"/>
  <c r="CV224" i="5"/>
  <c r="CY211" i="5"/>
  <c r="CV223" i="5"/>
  <c r="CK24" i="4"/>
  <c r="CK11" i="4"/>
  <c r="CH22" i="4"/>
  <c r="CS224" i="5"/>
  <c r="CS223" i="5"/>
  <c r="CM129" i="5"/>
  <c r="CP126" i="5"/>
  <c r="CS126" i="5" s="1"/>
  <c r="CV126" i="5" s="1"/>
  <c r="CM329" i="5"/>
  <c r="CP319" i="5"/>
  <c r="CM260" i="5"/>
  <c r="CP240" i="5"/>
  <c r="CM68" i="5"/>
  <c r="CP56" i="5"/>
  <c r="CP13" i="5"/>
  <c r="CS13" i="5" s="1"/>
  <c r="CV13" i="5" s="1"/>
  <c r="CM23" i="5"/>
  <c r="CP224" i="5"/>
  <c r="CP223" i="5"/>
  <c r="CJ162" i="5"/>
  <c r="CM152" i="5"/>
  <c r="CM224" i="5"/>
  <c r="CM223" i="5"/>
  <c r="CM130" i="5"/>
  <c r="CM24" i="5"/>
  <c r="CJ225" i="5"/>
  <c r="CM218" i="5"/>
  <c r="F5" i="33"/>
  <c r="CG294" i="5"/>
  <c r="CJ282" i="5"/>
  <c r="CG31" i="5"/>
  <c r="CJ26" i="5"/>
  <c r="CG37" i="5"/>
  <c r="CJ32" i="5"/>
  <c r="CG306" i="5"/>
  <c r="CJ303" i="5"/>
  <c r="CG54" i="5"/>
  <c r="CJ45" i="5"/>
  <c r="CG121" i="5"/>
  <c r="CJ118" i="5"/>
  <c r="CJ224" i="5"/>
  <c r="CJ223" i="5"/>
  <c r="CG81" i="5"/>
  <c r="CJ78" i="5"/>
  <c r="CG142" i="5"/>
  <c r="CJ141" i="5"/>
  <c r="CG187" i="5"/>
  <c r="CJ177" i="5"/>
  <c r="CG116" i="5"/>
  <c r="CJ109" i="5"/>
  <c r="CG302" i="5"/>
  <c r="CJ299" i="5"/>
  <c r="CG313" i="5"/>
  <c r="CJ307" i="5"/>
  <c r="CG139" i="5"/>
  <c r="CJ136" i="5"/>
  <c r="CJ130" i="5"/>
  <c r="CJ129" i="5"/>
  <c r="CJ24" i="5"/>
  <c r="CJ23" i="5"/>
  <c r="BP89" i="4"/>
  <c r="BV25" i="4"/>
  <c r="BS33" i="4"/>
  <c r="BO113" i="4"/>
  <c r="BP33" i="4"/>
  <c r="CD131" i="5"/>
  <c r="CG127" i="5"/>
  <c r="CG130" i="5"/>
  <c r="CG129" i="5"/>
  <c r="CA138" i="5"/>
  <c r="CD134" i="5"/>
  <c r="CD87" i="5"/>
  <c r="CG86" i="5"/>
  <c r="CD102" i="5"/>
  <c r="CD333" i="5" s="1"/>
  <c r="CG97" i="5"/>
  <c r="CG228" i="5"/>
  <c r="CD230" i="5"/>
  <c r="CD25" i="5"/>
  <c r="CG14" i="5"/>
  <c r="CA188" i="5"/>
  <c r="CA335" i="5" s="1"/>
  <c r="CD181" i="5"/>
  <c r="CG186" i="5"/>
  <c r="CG224" i="5"/>
  <c r="CG223" i="5"/>
  <c r="CD195" i="5"/>
  <c r="CG189" i="5"/>
  <c r="CG314" i="5"/>
  <c r="CD318" i="5"/>
  <c r="CA115" i="5"/>
  <c r="CD105" i="5"/>
  <c r="CD43" i="5"/>
  <c r="CG40" i="5"/>
  <c r="CG73" i="5"/>
  <c r="CD80" i="5"/>
  <c r="CG140" i="5"/>
  <c r="CD143" i="5"/>
  <c r="CD197" i="5"/>
  <c r="CG196" i="5"/>
  <c r="CD8" i="5"/>
  <c r="CG5" i="5"/>
  <c r="CJ5" i="5" s="1"/>
  <c r="CG24" i="5"/>
  <c r="CG23" i="5"/>
  <c r="CD150" i="5"/>
  <c r="CG144" i="5"/>
  <c r="CD120" i="5"/>
  <c r="CG117" i="5"/>
  <c r="CD95" i="5"/>
  <c r="CA101" i="5"/>
  <c r="BU293" i="5"/>
  <c r="BU332" i="5" s="1"/>
  <c r="BU337" i="5" s="1"/>
  <c r="BX264" i="5"/>
  <c r="CA264" i="5" s="1"/>
  <c r="BP111" i="4"/>
  <c r="BR293" i="5"/>
  <c r="BR1" i="5" s="1"/>
  <c r="F13" i="33"/>
  <c r="BN163" i="5"/>
  <c r="BJ335" i="5"/>
  <c r="BN335" i="5" s="1"/>
  <c r="BM332" i="5"/>
  <c r="BM1" i="5"/>
  <c r="BP22" i="4"/>
  <c r="BG335" i="5"/>
  <c r="BH150" i="5"/>
  <c r="BO144" i="5"/>
  <c r="BK144" i="5"/>
  <c r="BN131" i="5"/>
  <c r="BK131" i="5"/>
  <c r="BH143" i="5"/>
  <c r="BO143" i="5" s="1"/>
  <c r="BO140" i="5"/>
  <c r="BK140" i="5"/>
  <c r="BJ332" i="5"/>
  <c r="BO326" i="5"/>
  <c r="BK326" i="5"/>
  <c r="BN143" i="5"/>
  <c r="BN54" i="5"/>
  <c r="BN199" i="5"/>
  <c r="BN302" i="5"/>
  <c r="BK121" i="5"/>
  <c r="BN87" i="5"/>
  <c r="BN31" i="5"/>
  <c r="BK120" i="5"/>
  <c r="BN120" i="5"/>
  <c r="BL113" i="4"/>
  <c r="BJ139" i="5"/>
  <c r="BJ1" i="5" s="1"/>
  <c r="U143" i="5"/>
  <c r="M143" i="5"/>
  <c r="BG333" i="5"/>
  <c r="BG332" i="5"/>
  <c r="BD186" i="5"/>
  <c r="BD54" i="5"/>
  <c r="BJ27" i="4"/>
  <c r="BM27" i="4" s="1"/>
  <c r="BI89" i="4"/>
  <c r="BD223" i="5"/>
  <c r="BD151" i="5"/>
  <c r="BD150" i="5"/>
  <c r="BE145" i="5"/>
  <c r="BH145" i="5" s="1"/>
  <c r="BE125" i="5"/>
  <c r="BH125" i="5" s="1"/>
  <c r="BI22" i="4"/>
  <c r="C12" i="52" l="1"/>
  <c r="C14" i="52" s="1"/>
  <c r="C16" i="52" s="1"/>
  <c r="C12" i="53"/>
  <c r="C14" i="53" s="1"/>
  <c r="C12" i="50"/>
  <c r="C14" i="50" s="1"/>
  <c r="C16" i="50" s="1"/>
  <c r="C12" i="51"/>
  <c r="C14" i="51" s="1"/>
  <c r="C12" i="48"/>
  <c r="C14" i="48" s="1"/>
  <c r="C25" i="48" s="1"/>
  <c r="C12" i="49"/>
  <c r="C14" i="49" s="1"/>
  <c r="C12" i="14"/>
  <c r="C12" i="47"/>
  <c r="C14" i="47" s="1"/>
  <c r="C25" i="47" s="1"/>
  <c r="C12" i="46"/>
  <c r="C14" i="46" s="1"/>
  <c r="C25" i="46" s="1"/>
  <c r="C12" i="45"/>
  <c r="C9" i="45"/>
  <c r="CV24" i="5"/>
  <c r="CY13" i="5"/>
  <c r="CV23" i="5"/>
  <c r="CV130" i="5"/>
  <c r="CY126" i="5"/>
  <c r="CV129" i="5"/>
  <c r="CY224" i="5"/>
  <c r="CY223" i="5"/>
  <c r="CN24" i="4"/>
  <c r="CN11" i="4"/>
  <c r="CN22" i="4" s="1"/>
  <c r="D5" i="53" s="1"/>
  <c r="CK22" i="4"/>
  <c r="CS24" i="5"/>
  <c r="CS23" i="5"/>
  <c r="CP260" i="5"/>
  <c r="CS240" i="5"/>
  <c r="CS130" i="5"/>
  <c r="CS129" i="5"/>
  <c r="CP68" i="5"/>
  <c r="CS56" i="5"/>
  <c r="CP329" i="5"/>
  <c r="CS319" i="5"/>
  <c r="CM225" i="5"/>
  <c r="CP218" i="5"/>
  <c r="CP24" i="5"/>
  <c r="CP23" i="5"/>
  <c r="CP130" i="5"/>
  <c r="CP129" i="5"/>
  <c r="CM162" i="5"/>
  <c r="CP152" i="5"/>
  <c r="CJ302" i="5"/>
  <c r="CM299" i="5"/>
  <c r="CJ81" i="5"/>
  <c r="CM78" i="5"/>
  <c r="CJ306" i="5"/>
  <c r="CM303" i="5"/>
  <c r="CJ31" i="5"/>
  <c r="CM26" i="5"/>
  <c r="CJ139" i="5"/>
  <c r="CM136" i="5"/>
  <c r="CJ187" i="5"/>
  <c r="CM177" i="5"/>
  <c r="CP177" i="5" s="1"/>
  <c r="CS177" i="5" s="1"/>
  <c r="CV177" i="5" s="1"/>
  <c r="CJ121" i="5"/>
  <c r="CM118" i="5"/>
  <c r="CJ313" i="5"/>
  <c r="CM307" i="5"/>
  <c r="CJ116" i="5"/>
  <c r="CM109" i="5"/>
  <c r="CJ142" i="5"/>
  <c r="CM141" i="5"/>
  <c r="CJ54" i="5"/>
  <c r="CM45" i="5"/>
  <c r="CJ37" i="5"/>
  <c r="CM32" i="5"/>
  <c r="CJ294" i="5"/>
  <c r="CM282" i="5"/>
  <c r="CJ8" i="5"/>
  <c r="CM5" i="5"/>
  <c r="CG80" i="5"/>
  <c r="CJ73" i="5"/>
  <c r="CG197" i="5"/>
  <c r="CJ196" i="5"/>
  <c r="CG195" i="5"/>
  <c r="CJ189" i="5"/>
  <c r="CG102" i="5"/>
  <c r="CG333" i="5" s="1"/>
  <c r="CJ97" i="5"/>
  <c r="CM97" i="5" s="1"/>
  <c r="CG131" i="5"/>
  <c r="CJ127" i="5"/>
  <c r="CJ186" i="5"/>
  <c r="CG43" i="5"/>
  <c r="CJ40" i="5"/>
  <c r="CG230" i="5"/>
  <c r="CJ228" i="5"/>
  <c r="CG87" i="5"/>
  <c r="CJ86" i="5"/>
  <c r="CG120" i="5"/>
  <c r="CJ117" i="5"/>
  <c r="CG150" i="5"/>
  <c r="CJ144" i="5"/>
  <c r="CG143" i="5"/>
  <c r="CJ140" i="5"/>
  <c r="CG318" i="5"/>
  <c r="CJ314" i="5"/>
  <c r="CG25" i="5"/>
  <c r="CJ14" i="5"/>
  <c r="F8" i="33"/>
  <c r="E7" i="33"/>
  <c r="BY25" i="4"/>
  <c r="BV33" i="4"/>
  <c r="E8" i="33"/>
  <c r="BS113" i="4"/>
  <c r="CG8" i="5"/>
  <c r="CG95" i="5"/>
  <c r="CD101" i="5"/>
  <c r="CD138" i="5"/>
  <c r="CG134" i="5"/>
  <c r="CD188" i="5"/>
  <c r="CD335" i="5" s="1"/>
  <c r="CG181" i="5"/>
  <c r="CJ181" i="5" s="1"/>
  <c r="BM337" i="5"/>
  <c r="CD115" i="5"/>
  <c r="CG105" i="5"/>
  <c r="CD264" i="5"/>
  <c r="CA293" i="5"/>
  <c r="BU1" i="5"/>
  <c r="BX293" i="5"/>
  <c r="BX332" i="5" s="1"/>
  <c r="E5" i="33"/>
  <c r="E6" i="33"/>
  <c r="BR332" i="5"/>
  <c r="BR337" i="5" s="1"/>
  <c r="BJ341" i="5"/>
  <c r="F14" i="33"/>
  <c r="BP113" i="4"/>
  <c r="BK143" i="5"/>
  <c r="BN139" i="5"/>
  <c r="BJ337" i="5"/>
  <c r="BK150" i="5"/>
  <c r="BO150" i="5"/>
  <c r="BO145" i="5"/>
  <c r="BK145" i="5"/>
  <c r="BO125" i="5"/>
  <c r="BK125" i="5"/>
  <c r="BN332" i="5"/>
  <c r="BJ333" i="5"/>
  <c r="BG337" i="5"/>
  <c r="BG1" i="5" s="1"/>
  <c r="H23" i="38"/>
  <c r="C25" i="52" l="1"/>
  <c r="C25" i="53"/>
  <c r="C16" i="53"/>
  <c r="D5" i="51"/>
  <c r="D5" i="52"/>
  <c r="C25" i="50"/>
  <c r="C16" i="51"/>
  <c r="C25" i="51"/>
  <c r="D5" i="48"/>
  <c r="D5" i="50"/>
  <c r="D5" i="49"/>
  <c r="C16" i="48"/>
  <c r="C16" i="49"/>
  <c r="C25" i="49"/>
  <c r="C14" i="45"/>
  <c r="G14" i="45" s="1"/>
  <c r="G12" i="45"/>
  <c r="D5" i="47"/>
  <c r="D5" i="46"/>
  <c r="C16" i="46"/>
  <c r="C16" i="47"/>
  <c r="G9" i="45"/>
  <c r="D5" i="14"/>
  <c r="D5" i="45"/>
  <c r="CS68" i="5"/>
  <c r="CV56" i="5"/>
  <c r="CS260" i="5"/>
  <c r="CV240" i="5"/>
  <c r="CY130" i="5"/>
  <c r="CY129" i="5"/>
  <c r="CY24" i="5"/>
  <c r="CY23" i="5"/>
  <c r="CY177" i="5"/>
  <c r="CV187" i="5"/>
  <c r="CV186" i="5"/>
  <c r="CS329" i="5"/>
  <c r="CV319" i="5"/>
  <c r="BY33" i="4"/>
  <c r="BY113" i="4" s="1"/>
  <c r="CB25" i="4"/>
  <c r="CS187" i="5"/>
  <c r="CS186" i="5"/>
  <c r="CP162" i="5"/>
  <c r="CS152" i="5"/>
  <c r="CP225" i="5"/>
  <c r="CS218" i="5"/>
  <c r="CM102" i="5"/>
  <c r="CP97" i="5"/>
  <c r="CM8" i="5"/>
  <c r="CP5" i="5"/>
  <c r="CM37" i="5"/>
  <c r="CP32" i="5"/>
  <c r="CM142" i="5"/>
  <c r="CP141" i="5"/>
  <c r="CM313" i="5"/>
  <c r="CP307" i="5"/>
  <c r="CP187" i="5"/>
  <c r="CP186" i="5"/>
  <c r="CM31" i="5"/>
  <c r="CP26" i="5"/>
  <c r="CM81" i="5"/>
  <c r="CP78" i="5"/>
  <c r="CM294" i="5"/>
  <c r="CP282" i="5"/>
  <c r="CM54" i="5"/>
  <c r="CP45" i="5"/>
  <c r="CM116" i="5"/>
  <c r="CP109" i="5"/>
  <c r="CM121" i="5"/>
  <c r="CP118" i="5"/>
  <c r="CM139" i="5"/>
  <c r="CP136" i="5"/>
  <c r="CM306" i="5"/>
  <c r="CP303" i="5"/>
  <c r="CM302" i="5"/>
  <c r="CP299" i="5"/>
  <c r="BN337" i="5"/>
  <c r="CJ25" i="5"/>
  <c r="CM14" i="5"/>
  <c r="CP14" i="5" s="1"/>
  <c r="CJ120" i="5"/>
  <c r="CM117" i="5"/>
  <c r="CM187" i="5"/>
  <c r="CM186" i="5"/>
  <c r="CJ197" i="5"/>
  <c r="CM196" i="5"/>
  <c r="CJ143" i="5"/>
  <c r="CM140" i="5"/>
  <c r="CJ230" i="5"/>
  <c r="CM228" i="5"/>
  <c r="CJ188" i="5"/>
  <c r="CM181" i="5"/>
  <c r="CJ318" i="5"/>
  <c r="CM314" i="5"/>
  <c r="CJ150" i="5"/>
  <c r="CM144" i="5"/>
  <c r="CJ87" i="5"/>
  <c r="CM86" i="5"/>
  <c r="CJ43" i="5"/>
  <c r="CM40" i="5"/>
  <c r="CJ131" i="5"/>
  <c r="CM127" i="5"/>
  <c r="CJ195" i="5"/>
  <c r="CM189" i="5"/>
  <c r="CJ80" i="5"/>
  <c r="CM73" i="5"/>
  <c r="CG115" i="5"/>
  <c r="CJ105" i="5"/>
  <c r="CG138" i="5"/>
  <c r="CJ134" i="5"/>
  <c r="CG101" i="5"/>
  <c r="CJ95" i="5"/>
  <c r="CJ102" i="5"/>
  <c r="CJ333" i="5" s="1"/>
  <c r="BV113" i="4"/>
  <c r="CG188" i="5"/>
  <c r="CG335" i="5" s="1"/>
  <c r="CA332" i="5"/>
  <c r="CA1" i="5"/>
  <c r="CG264" i="5"/>
  <c r="CD293" i="5"/>
  <c r="CD332" i="5" s="1"/>
  <c r="BX337" i="5"/>
  <c r="BX1" i="5"/>
  <c r="E12" i="33"/>
  <c r="E14" i="33"/>
  <c r="F12" i="33"/>
  <c r="E13" i="33"/>
  <c r="BN333" i="5"/>
  <c r="BD24" i="5"/>
  <c r="BD25" i="5"/>
  <c r="BI111" i="4"/>
  <c r="Q6" i="38" s="1"/>
  <c r="BJ96" i="4"/>
  <c r="BM96" i="4" s="1"/>
  <c r="BJ66" i="4"/>
  <c r="BM66" i="4" s="1"/>
  <c r="BA5" i="4"/>
  <c r="BD5" i="4" s="1"/>
  <c r="N23" i="38"/>
  <c r="K23" i="38"/>
  <c r="F23" i="38"/>
  <c r="D23" i="38"/>
  <c r="C23" i="38"/>
  <c r="I20" i="38"/>
  <c r="L20" i="38" s="1"/>
  <c r="K8" i="38"/>
  <c r="N7" i="38"/>
  <c r="K7" i="38"/>
  <c r="N6" i="38"/>
  <c r="K6" i="38"/>
  <c r="N5" i="38"/>
  <c r="K5" i="38"/>
  <c r="Q7" i="38"/>
  <c r="Q5" i="38"/>
  <c r="BC113" i="4"/>
  <c r="BC1" i="4" s="1"/>
  <c r="BD101" i="5"/>
  <c r="AW1" i="5"/>
  <c r="BD329" i="5"/>
  <c r="BD318" i="5"/>
  <c r="BD313" i="5"/>
  <c r="BD306" i="5"/>
  <c r="BD302" i="5"/>
  <c r="BE295" i="5"/>
  <c r="BD295" i="5"/>
  <c r="BD294" i="5"/>
  <c r="BD293" i="5"/>
  <c r="BD260" i="5"/>
  <c r="BD230" i="5"/>
  <c r="BD225" i="5"/>
  <c r="BD224" i="5"/>
  <c r="BD199" i="5"/>
  <c r="BD195" i="5"/>
  <c r="BD188" i="5"/>
  <c r="BD187" i="5"/>
  <c r="BD163" i="5"/>
  <c r="BD162" i="5"/>
  <c r="BE150" i="5"/>
  <c r="BD139" i="5"/>
  <c r="BD138" i="5"/>
  <c r="BE131" i="5"/>
  <c r="BD131" i="5"/>
  <c r="BD130" i="5"/>
  <c r="BD129" i="5"/>
  <c r="BE121" i="5"/>
  <c r="BD121" i="5"/>
  <c r="BE120" i="5"/>
  <c r="BD120" i="5"/>
  <c r="BD116" i="5"/>
  <c r="BD115" i="5"/>
  <c r="BD102" i="5"/>
  <c r="BD87" i="5"/>
  <c r="BD81" i="5"/>
  <c r="BD80" i="5"/>
  <c r="BD68" i="5"/>
  <c r="BD43" i="5"/>
  <c r="BD37" i="5"/>
  <c r="BD31" i="5"/>
  <c r="BD23" i="5"/>
  <c r="BD8" i="5"/>
  <c r="BA171" i="5"/>
  <c r="BA186" i="5" s="1"/>
  <c r="BA101" i="5"/>
  <c r="BB92" i="5"/>
  <c r="BE92" i="5" s="1"/>
  <c r="BH92" i="5" s="1"/>
  <c r="BA24" i="5"/>
  <c r="BA25" i="5"/>
  <c r="BA151" i="5"/>
  <c r="BB147" i="5"/>
  <c r="BE147" i="5" s="1"/>
  <c r="BA54" i="5"/>
  <c r="BE51" i="5"/>
  <c r="BH51" i="5" s="1"/>
  <c r="BA329" i="5"/>
  <c r="BA318" i="5"/>
  <c r="BA313" i="5"/>
  <c r="BA306" i="5"/>
  <c r="BA302" i="5"/>
  <c r="BB295" i="5"/>
  <c r="BA295" i="5"/>
  <c r="BA294" i="5"/>
  <c r="BA293" i="5"/>
  <c r="BA260" i="5"/>
  <c r="BA230" i="5"/>
  <c r="BA225" i="5"/>
  <c r="BA224" i="5"/>
  <c r="BA223" i="5"/>
  <c r="BA199" i="5"/>
  <c r="BA195" i="5"/>
  <c r="BA188" i="5"/>
  <c r="BA187" i="5"/>
  <c r="BA163" i="5"/>
  <c r="BA162" i="5"/>
  <c r="BB150" i="5"/>
  <c r="BA150" i="5"/>
  <c r="BA139" i="5"/>
  <c r="BA138" i="5"/>
  <c r="BB131" i="5"/>
  <c r="BA131" i="5"/>
  <c r="BA130" i="5"/>
  <c r="BA129" i="5"/>
  <c r="BB121" i="5"/>
  <c r="BA121" i="5"/>
  <c r="BB120" i="5"/>
  <c r="BA120" i="5"/>
  <c r="BA116" i="5"/>
  <c r="BA115" i="5"/>
  <c r="BA102" i="5"/>
  <c r="BA87" i="5"/>
  <c r="BA81" i="5"/>
  <c r="BA80" i="5"/>
  <c r="BA68" i="5"/>
  <c r="BA43" i="5"/>
  <c r="BA37" i="5"/>
  <c r="BA31" i="5"/>
  <c r="BA23" i="5"/>
  <c r="BA8" i="5"/>
  <c r="BF33" i="4"/>
  <c r="N8" i="38" s="1"/>
  <c r="N23" i="37"/>
  <c r="N7" i="37"/>
  <c r="N6" i="37"/>
  <c r="N5" i="37"/>
  <c r="K23" i="37"/>
  <c r="H23" i="37"/>
  <c r="F23" i="37"/>
  <c r="D23" i="37"/>
  <c r="C23" i="37"/>
  <c r="I20" i="37"/>
  <c r="I23" i="37" s="1"/>
  <c r="K8" i="37"/>
  <c r="K7" i="37"/>
  <c r="K6" i="37"/>
  <c r="K5" i="37"/>
  <c r="AX329" i="5"/>
  <c r="AX318" i="5"/>
  <c r="AX313" i="5"/>
  <c r="AX306" i="5"/>
  <c r="AX302" i="5"/>
  <c r="AY295" i="5"/>
  <c r="AX295" i="5"/>
  <c r="AX294" i="5"/>
  <c r="AX293" i="5"/>
  <c r="AX260" i="5"/>
  <c r="AX230" i="5"/>
  <c r="AX225" i="5"/>
  <c r="AX224" i="5"/>
  <c r="AX223" i="5"/>
  <c r="AX199" i="5"/>
  <c r="AX195" i="5"/>
  <c r="AX188" i="5"/>
  <c r="AX187" i="5"/>
  <c r="AX186" i="5"/>
  <c r="AX163" i="5"/>
  <c r="AX162" i="5"/>
  <c r="AY151" i="5"/>
  <c r="AX151" i="5"/>
  <c r="AY150" i="5"/>
  <c r="AX150" i="5"/>
  <c r="AX139" i="5"/>
  <c r="AX138" i="5"/>
  <c r="AY131" i="5"/>
  <c r="AX131" i="5"/>
  <c r="AX130" i="5"/>
  <c r="AX129" i="5"/>
  <c r="AY121" i="5"/>
  <c r="AX121" i="5"/>
  <c r="AY120" i="5"/>
  <c r="AX120" i="5"/>
  <c r="AX116" i="5"/>
  <c r="AX115" i="5"/>
  <c r="AX102" i="5"/>
  <c r="AX101" i="5"/>
  <c r="AX87" i="5"/>
  <c r="AX81" i="5"/>
  <c r="AX80" i="5"/>
  <c r="AX68" i="5"/>
  <c r="AX54" i="5"/>
  <c r="AX43" i="5"/>
  <c r="AX37" i="5"/>
  <c r="AX31" i="5"/>
  <c r="AX23" i="5"/>
  <c r="AX8" i="5"/>
  <c r="AU31" i="5"/>
  <c r="AU37" i="5"/>
  <c r="AU43" i="5"/>
  <c r="AU54" i="5"/>
  <c r="AU68" i="5"/>
  <c r="AU81" i="5"/>
  <c r="AU80" i="5"/>
  <c r="AU87" i="5"/>
  <c r="AU102" i="5"/>
  <c r="AU101" i="5"/>
  <c r="AU116" i="5"/>
  <c r="AU115" i="5"/>
  <c r="AU121" i="5"/>
  <c r="AU120" i="5"/>
  <c r="AU131" i="5"/>
  <c r="AU130" i="5"/>
  <c r="AU129" i="5"/>
  <c r="AU139" i="5"/>
  <c r="AU138" i="5"/>
  <c r="AU151" i="5"/>
  <c r="AU150" i="5"/>
  <c r="AU163" i="5"/>
  <c r="AU162" i="5"/>
  <c r="AU188" i="5"/>
  <c r="AU187" i="5"/>
  <c r="AU186" i="5"/>
  <c r="AU195" i="5"/>
  <c r="AU199" i="5"/>
  <c r="AU225" i="5"/>
  <c r="AU224" i="5"/>
  <c r="AU223" i="5"/>
  <c r="AU230" i="5"/>
  <c r="AU260" i="5"/>
  <c r="AU295" i="5"/>
  <c r="AU294" i="5"/>
  <c r="AU293" i="5"/>
  <c r="AU302" i="5"/>
  <c r="AU306" i="5"/>
  <c r="AU313" i="5"/>
  <c r="AU318" i="5"/>
  <c r="AU329" i="5"/>
  <c r="AU23" i="5"/>
  <c r="AU8" i="5"/>
  <c r="AV198" i="5"/>
  <c r="AY198" i="5" s="1"/>
  <c r="AV295" i="5"/>
  <c r="AV151" i="5"/>
  <c r="AV150" i="5"/>
  <c r="AV131" i="5"/>
  <c r="AV121" i="5"/>
  <c r="AV120" i="5"/>
  <c r="K23" i="36"/>
  <c r="K8" i="36"/>
  <c r="K7" i="36"/>
  <c r="K6" i="36"/>
  <c r="K5" i="36"/>
  <c r="H23" i="36"/>
  <c r="F23" i="36"/>
  <c r="D23" i="36"/>
  <c r="C23" i="36"/>
  <c r="I20" i="36"/>
  <c r="I23" i="36" s="1"/>
  <c r="BD78" i="4"/>
  <c r="BG78" i="4" s="1"/>
  <c r="BJ78" i="4" s="1"/>
  <c r="BD71" i="4"/>
  <c r="BG71" i="4" s="1"/>
  <c r="BJ71" i="4" s="1"/>
  <c r="BD70" i="4"/>
  <c r="BG70" i="4" s="1"/>
  <c r="BJ70" i="4" s="1"/>
  <c r="BD69" i="4"/>
  <c r="BG69" i="4" s="1"/>
  <c r="BJ69" i="4" s="1"/>
  <c r="BD65" i="4"/>
  <c r="BG65" i="4" s="1"/>
  <c r="BJ65" i="4" s="1"/>
  <c r="BD64" i="4"/>
  <c r="BG64" i="4" s="1"/>
  <c r="BJ64" i="4" s="1"/>
  <c r="BD63" i="4"/>
  <c r="BG63" i="4" s="1"/>
  <c r="BJ63" i="4" s="1"/>
  <c r="BD62" i="4"/>
  <c r="BG62" i="4" s="1"/>
  <c r="BJ62" i="4" s="1"/>
  <c r="BD60" i="4"/>
  <c r="BG60" i="4" s="1"/>
  <c r="BJ60" i="4" s="1"/>
  <c r="BD59" i="4"/>
  <c r="BG59" i="4" s="1"/>
  <c r="BJ59" i="4" s="1"/>
  <c r="BD58" i="4"/>
  <c r="BG58" i="4" s="1"/>
  <c r="BJ58" i="4" s="1"/>
  <c r="BD56" i="4"/>
  <c r="BG56" i="4" s="1"/>
  <c r="BJ56" i="4" s="1"/>
  <c r="BM56" i="4" s="1"/>
  <c r="BD55" i="4"/>
  <c r="BG55" i="4" s="1"/>
  <c r="BJ55" i="4" s="1"/>
  <c r="BD41" i="4"/>
  <c r="BG41" i="4" s="1"/>
  <c r="BJ41" i="4" s="1"/>
  <c r="BD40" i="4"/>
  <c r="BG40" i="4" s="1"/>
  <c r="BJ40" i="4" s="1"/>
  <c r="BD37" i="4"/>
  <c r="BG37" i="4" s="1"/>
  <c r="BJ37" i="4" s="1"/>
  <c r="BD36" i="4"/>
  <c r="BG36" i="4" s="1"/>
  <c r="BJ36" i="4" s="1"/>
  <c r="BD34" i="4"/>
  <c r="BG34" i="4" s="1"/>
  <c r="BJ34" i="4" s="1"/>
  <c r="C25" i="45" l="1"/>
  <c r="C16" i="45"/>
  <c r="L23" i="38"/>
  <c r="O20" i="38"/>
  <c r="O23" i="38" s="1"/>
  <c r="L20" i="36"/>
  <c r="L23" i="36" s="1"/>
  <c r="I23" i="38"/>
  <c r="CV329" i="5"/>
  <c r="CY319" i="5"/>
  <c r="CY329" i="5" s="1"/>
  <c r="CY187" i="5"/>
  <c r="CY186" i="5"/>
  <c r="CS225" i="5"/>
  <c r="CV218" i="5"/>
  <c r="CV68" i="5"/>
  <c r="CY56" i="5"/>
  <c r="CY68" i="5" s="1"/>
  <c r="CS162" i="5"/>
  <c r="CV152" i="5"/>
  <c r="CY240" i="5"/>
  <c r="CY260" i="5" s="1"/>
  <c r="CV260" i="5"/>
  <c r="CE25" i="4"/>
  <c r="CB33" i="4"/>
  <c r="CB113" i="4" s="1"/>
  <c r="CB1" i="4" s="1"/>
  <c r="CP306" i="5"/>
  <c r="CS303" i="5"/>
  <c r="CP121" i="5"/>
  <c r="CS118" i="5"/>
  <c r="CP54" i="5"/>
  <c r="CS45" i="5"/>
  <c r="CP81" i="5"/>
  <c r="CS78" i="5"/>
  <c r="CP142" i="5"/>
  <c r="CS141" i="5"/>
  <c r="CP8" i="5"/>
  <c r="CS5" i="5"/>
  <c r="CM333" i="5"/>
  <c r="CP25" i="5"/>
  <c r="CS14" i="5"/>
  <c r="CP302" i="5"/>
  <c r="CS299" i="5"/>
  <c r="CP139" i="5"/>
  <c r="CS136" i="5"/>
  <c r="CP116" i="5"/>
  <c r="CS109" i="5"/>
  <c r="CP294" i="5"/>
  <c r="CS282" i="5"/>
  <c r="CP31" i="5"/>
  <c r="CS26" i="5"/>
  <c r="CP313" i="5"/>
  <c r="CS307" i="5"/>
  <c r="CP37" i="5"/>
  <c r="CS32" i="5"/>
  <c r="CP102" i="5"/>
  <c r="CS97" i="5"/>
  <c r="CM43" i="5"/>
  <c r="CP40" i="5"/>
  <c r="CM150" i="5"/>
  <c r="CP144" i="5"/>
  <c r="CM188" i="5"/>
  <c r="CP181" i="5"/>
  <c r="CM143" i="5"/>
  <c r="CP140" i="5"/>
  <c r="CM80" i="5"/>
  <c r="CP73" i="5"/>
  <c r="CM195" i="5"/>
  <c r="CP189" i="5"/>
  <c r="CM131" i="5"/>
  <c r="CP127" i="5"/>
  <c r="CM87" i="5"/>
  <c r="CP86" i="5"/>
  <c r="CM318" i="5"/>
  <c r="CP314" i="5"/>
  <c r="CM230" i="5"/>
  <c r="CP228" i="5"/>
  <c r="CM197" i="5"/>
  <c r="CP196" i="5"/>
  <c r="CM120" i="5"/>
  <c r="CP117" i="5"/>
  <c r="CJ115" i="5"/>
  <c r="CM105" i="5"/>
  <c r="CM25" i="5"/>
  <c r="CJ335" i="5"/>
  <c r="CJ101" i="5"/>
  <c r="CM95" i="5"/>
  <c r="CJ138" i="5"/>
  <c r="CM134" i="5"/>
  <c r="CG293" i="5"/>
  <c r="CG332" i="5" s="1"/>
  <c r="CG337" i="5" s="1"/>
  <c r="CJ264" i="5"/>
  <c r="CA337" i="5"/>
  <c r="CD1" i="5"/>
  <c r="CD337" i="5"/>
  <c r="BO92" i="5"/>
  <c r="BK92" i="5"/>
  <c r="BK51" i="5"/>
  <c r="BO51" i="5"/>
  <c r="BE151" i="5"/>
  <c r="BH147" i="5"/>
  <c r="AV199" i="5"/>
  <c r="K9" i="38"/>
  <c r="K9" i="37"/>
  <c r="BD333" i="5"/>
  <c r="Q13" i="38" s="1"/>
  <c r="AX333" i="5"/>
  <c r="N13" i="38" s="1"/>
  <c r="BB151" i="5"/>
  <c r="AY199" i="5"/>
  <c r="BB198" i="5"/>
  <c r="BA335" i="5"/>
  <c r="AU335" i="5"/>
  <c r="AX335" i="5"/>
  <c r="K9" i="36"/>
  <c r="BF113" i="4"/>
  <c r="BF1" i="4" s="1"/>
  <c r="N8" i="37"/>
  <c r="N9" i="37" s="1"/>
  <c r="N9" i="38"/>
  <c r="L20" i="37"/>
  <c r="BD332" i="5"/>
  <c r="BD335" i="5"/>
  <c r="Q14" i="38" s="1"/>
  <c r="BA333" i="5"/>
  <c r="BA332" i="5"/>
  <c r="AX332" i="5"/>
  <c r="AU333" i="5"/>
  <c r="AU332" i="5"/>
  <c r="AR23" i="5"/>
  <c r="AR24" i="5"/>
  <c r="AR333" i="5" s="1"/>
  <c r="AR25" i="5"/>
  <c r="AR335" i="5" s="1"/>
  <c r="AR8" i="5"/>
  <c r="AR313" i="5"/>
  <c r="AS325" i="5"/>
  <c r="AV325" i="5" s="1"/>
  <c r="AY325" i="5" s="1"/>
  <c r="BB325" i="5" s="1"/>
  <c r="BE325" i="5" s="1"/>
  <c r="BH325" i="5" s="1"/>
  <c r="AS324" i="5"/>
  <c r="AV324" i="5" s="1"/>
  <c r="AS319" i="5"/>
  <c r="AV319" i="5" s="1"/>
  <c r="AY319" i="5" s="1"/>
  <c r="AS314" i="5"/>
  <c r="AS303" i="5"/>
  <c r="AS299" i="5"/>
  <c r="AS295" i="5"/>
  <c r="AS291" i="5"/>
  <c r="AV291" i="5" s="1"/>
  <c r="AY291" i="5" s="1"/>
  <c r="BB291" i="5" s="1"/>
  <c r="BE291" i="5" s="1"/>
  <c r="BH291" i="5" s="1"/>
  <c r="BK291" i="5" s="1"/>
  <c r="AS289" i="5"/>
  <c r="AV289" i="5" s="1"/>
  <c r="AY289" i="5" s="1"/>
  <c r="BB289" i="5" s="1"/>
  <c r="BE289" i="5" s="1"/>
  <c r="BH289" i="5" s="1"/>
  <c r="AS288" i="5"/>
  <c r="AV288" i="5" s="1"/>
  <c r="AY288" i="5" s="1"/>
  <c r="BB288" i="5" s="1"/>
  <c r="BE288" i="5" s="1"/>
  <c r="BH288" i="5" s="1"/>
  <c r="AS287" i="5"/>
  <c r="AV287" i="5" s="1"/>
  <c r="AY287" i="5" s="1"/>
  <c r="BB287" i="5" s="1"/>
  <c r="BE287" i="5" s="1"/>
  <c r="BH287" i="5" s="1"/>
  <c r="AS286" i="5"/>
  <c r="AV286" i="5" s="1"/>
  <c r="AY286" i="5" s="1"/>
  <c r="BB286" i="5" s="1"/>
  <c r="BE286" i="5" s="1"/>
  <c r="BH286" i="5" s="1"/>
  <c r="AS285" i="5"/>
  <c r="AV285" i="5" s="1"/>
  <c r="AY285" i="5" s="1"/>
  <c r="BB285" i="5" s="1"/>
  <c r="BE285" i="5" s="1"/>
  <c r="BH285" i="5" s="1"/>
  <c r="AS284" i="5"/>
  <c r="AV284" i="5" s="1"/>
  <c r="AY284" i="5" s="1"/>
  <c r="BB284" i="5" s="1"/>
  <c r="BE284" i="5" s="1"/>
  <c r="BH284" i="5" s="1"/>
  <c r="AS283" i="5"/>
  <c r="AV283" i="5" s="1"/>
  <c r="AY283" i="5" s="1"/>
  <c r="BB283" i="5" s="1"/>
  <c r="BE283" i="5" s="1"/>
  <c r="BH283" i="5" s="1"/>
  <c r="AS282" i="5"/>
  <c r="AS281" i="5"/>
  <c r="AV281" i="5" s="1"/>
  <c r="AY281" i="5" s="1"/>
  <c r="BB281" i="5" s="1"/>
  <c r="BE281" i="5" s="1"/>
  <c r="BH281" i="5" s="1"/>
  <c r="AS280" i="5"/>
  <c r="AV280" i="5" s="1"/>
  <c r="AY280" i="5" s="1"/>
  <c r="BB280" i="5" s="1"/>
  <c r="BE280" i="5" s="1"/>
  <c r="BH280" i="5" s="1"/>
  <c r="AS279" i="5"/>
  <c r="AV279" i="5" s="1"/>
  <c r="AY279" i="5" s="1"/>
  <c r="BB279" i="5" s="1"/>
  <c r="BE279" i="5" s="1"/>
  <c r="BH279" i="5" s="1"/>
  <c r="AS278" i="5"/>
  <c r="AV278" i="5" s="1"/>
  <c r="AY278" i="5" s="1"/>
  <c r="BB278" i="5" s="1"/>
  <c r="BE278" i="5" s="1"/>
  <c r="BH278" i="5" s="1"/>
  <c r="AS277" i="5"/>
  <c r="AV277" i="5" s="1"/>
  <c r="AY277" i="5" s="1"/>
  <c r="BB277" i="5" s="1"/>
  <c r="BE277" i="5" s="1"/>
  <c r="BH277" i="5" s="1"/>
  <c r="AS276" i="5"/>
  <c r="AV276" i="5" s="1"/>
  <c r="AY276" i="5" s="1"/>
  <c r="BB276" i="5" s="1"/>
  <c r="BE276" i="5" s="1"/>
  <c r="BH276" i="5" s="1"/>
  <c r="AS275" i="5"/>
  <c r="AV275" i="5" s="1"/>
  <c r="AY275" i="5" s="1"/>
  <c r="BB275" i="5" s="1"/>
  <c r="BE275" i="5" s="1"/>
  <c r="BH275" i="5" s="1"/>
  <c r="AS274" i="5"/>
  <c r="AV274" i="5" s="1"/>
  <c r="AY274" i="5" s="1"/>
  <c r="BB274" i="5" s="1"/>
  <c r="BE274" i="5" s="1"/>
  <c r="BH274" i="5" s="1"/>
  <c r="AS273" i="5"/>
  <c r="AV273" i="5" s="1"/>
  <c r="AY273" i="5" s="1"/>
  <c r="BB273" i="5" s="1"/>
  <c r="BE273" i="5" s="1"/>
  <c r="BH273" i="5" s="1"/>
  <c r="AS271" i="5"/>
  <c r="AV271" i="5" s="1"/>
  <c r="AY271" i="5" s="1"/>
  <c r="BB271" i="5" s="1"/>
  <c r="BE271" i="5" s="1"/>
  <c r="BH271" i="5" s="1"/>
  <c r="AS270" i="5"/>
  <c r="AV270" i="5" s="1"/>
  <c r="AY270" i="5" s="1"/>
  <c r="BB270" i="5" s="1"/>
  <c r="BE270" i="5" s="1"/>
  <c r="BH270" i="5" s="1"/>
  <c r="AS269" i="5"/>
  <c r="AV269" i="5" s="1"/>
  <c r="AY269" i="5" s="1"/>
  <c r="BB269" i="5" s="1"/>
  <c r="BE269" i="5" s="1"/>
  <c r="BH269" i="5" s="1"/>
  <c r="BO269" i="5" s="1"/>
  <c r="AS268" i="5"/>
  <c r="AV268" i="5" s="1"/>
  <c r="AY268" i="5" s="1"/>
  <c r="BB268" i="5" s="1"/>
  <c r="BE268" i="5" s="1"/>
  <c r="BH268" i="5" s="1"/>
  <c r="AS267" i="5"/>
  <c r="AV267" i="5" s="1"/>
  <c r="AY267" i="5" s="1"/>
  <c r="BB267" i="5" s="1"/>
  <c r="BE267" i="5" s="1"/>
  <c r="BH267" i="5" s="1"/>
  <c r="AS266" i="5"/>
  <c r="AV266" i="5" s="1"/>
  <c r="AY266" i="5" s="1"/>
  <c r="BB266" i="5" s="1"/>
  <c r="BE266" i="5" s="1"/>
  <c r="BH266" i="5" s="1"/>
  <c r="AS265" i="5"/>
  <c r="AV265" i="5" s="1"/>
  <c r="AY265" i="5" s="1"/>
  <c r="BB265" i="5" s="1"/>
  <c r="BE265" i="5" s="1"/>
  <c r="BH265" i="5" s="1"/>
  <c r="AS264" i="5"/>
  <c r="AV264" i="5" s="1"/>
  <c r="AY264" i="5" s="1"/>
  <c r="BB264" i="5" s="1"/>
  <c r="BE264" i="5" s="1"/>
  <c r="BH264" i="5" s="1"/>
  <c r="AS263" i="5"/>
  <c r="AV263" i="5" s="1"/>
  <c r="AY263" i="5" s="1"/>
  <c r="BB263" i="5" s="1"/>
  <c r="BE263" i="5" s="1"/>
  <c r="BH263" i="5" s="1"/>
  <c r="AS262" i="5"/>
  <c r="AV262" i="5" s="1"/>
  <c r="AY262" i="5" s="1"/>
  <c r="AS261" i="5"/>
  <c r="AV261" i="5" s="1"/>
  <c r="AY261" i="5" s="1"/>
  <c r="BB261" i="5" s="1"/>
  <c r="BE261" i="5" s="1"/>
  <c r="BH261" i="5" s="1"/>
  <c r="AS237" i="5"/>
  <c r="AV237" i="5" s="1"/>
  <c r="AY237" i="5" s="1"/>
  <c r="BB237" i="5" s="1"/>
  <c r="BE237" i="5" s="1"/>
  <c r="BH237" i="5" s="1"/>
  <c r="BK237" i="5" s="1"/>
  <c r="AS236" i="5"/>
  <c r="AV236" i="5" s="1"/>
  <c r="AY236" i="5" s="1"/>
  <c r="BB236" i="5" s="1"/>
  <c r="BE236" i="5" s="1"/>
  <c r="BH236" i="5" s="1"/>
  <c r="BK236" i="5" s="1"/>
  <c r="AS235" i="5"/>
  <c r="AV235" i="5" s="1"/>
  <c r="AY235" i="5" s="1"/>
  <c r="BB235" i="5" s="1"/>
  <c r="BE235" i="5" s="1"/>
  <c r="BH235" i="5" s="1"/>
  <c r="BK235" i="5" s="1"/>
  <c r="AS234" i="5"/>
  <c r="AV234" i="5" s="1"/>
  <c r="AY234" i="5" s="1"/>
  <c r="BB234" i="5" s="1"/>
  <c r="BE234" i="5" s="1"/>
  <c r="BH234" i="5" s="1"/>
  <c r="BK234" i="5" s="1"/>
  <c r="AS233" i="5"/>
  <c r="AV233" i="5" s="1"/>
  <c r="AY233" i="5" s="1"/>
  <c r="BB233" i="5" s="1"/>
  <c r="BE233" i="5" s="1"/>
  <c r="BH233" i="5" s="1"/>
  <c r="BK233" i="5" s="1"/>
  <c r="AS232" i="5"/>
  <c r="AV232" i="5" s="1"/>
  <c r="AY232" i="5" s="1"/>
  <c r="BB232" i="5" s="1"/>
  <c r="BE232" i="5" s="1"/>
  <c r="BH232" i="5" s="1"/>
  <c r="BK232" i="5" s="1"/>
  <c r="AS231" i="5"/>
  <c r="AV231" i="5" s="1"/>
  <c r="AY231" i="5" s="1"/>
  <c r="AS228" i="5"/>
  <c r="AV228" i="5" s="1"/>
  <c r="AY228" i="5" s="1"/>
  <c r="BB228" i="5" s="1"/>
  <c r="BE228" i="5" s="1"/>
  <c r="BH228" i="5" s="1"/>
  <c r="AS227" i="5"/>
  <c r="AS226" i="5"/>
  <c r="AV226" i="5" s="1"/>
  <c r="AY226" i="5" s="1"/>
  <c r="AS220" i="5"/>
  <c r="AV220" i="5" s="1"/>
  <c r="AY220" i="5" s="1"/>
  <c r="BB220" i="5" s="1"/>
  <c r="BE220" i="5" s="1"/>
  <c r="BH220" i="5" s="1"/>
  <c r="BO220" i="5" s="1"/>
  <c r="AS218" i="5"/>
  <c r="AV218" i="5" s="1"/>
  <c r="AS216" i="5"/>
  <c r="AV216" i="5" s="1"/>
  <c r="AY216" i="5" s="1"/>
  <c r="BB216" i="5" s="1"/>
  <c r="BE216" i="5" s="1"/>
  <c r="BH216" i="5" s="1"/>
  <c r="BO216" i="5" s="1"/>
  <c r="AS215" i="5"/>
  <c r="AV215" i="5" s="1"/>
  <c r="AY215" i="5" s="1"/>
  <c r="BB215" i="5" s="1"/>
  <c r="BE215" i="5" s="1"/>
  <c r="BH215" i="5" s="1"/>
  <c r="BO215" i="5" s="1"/>
  <c r="AS213" i="5"/>
  <c r="AV213" i="5" s="1"/>
  <c r="AY213" i="5" s="1"/>
  <c r="BB213" i="5" s="1"/>
  <c r="BE213" i="5" s="1"/>
  <c r="BH213" i="5" s="1"/>
  <c r="AS212" i="5"/>
  <c r="AV212" i="5" s="1"/>
  <c r="AY212" i="5" s="1"/>
  <c r="BB212" i="5" s="1"/>
  <c r="BE212" i="5" s="1"/>
  <c r="BH212" i="5" s="1"/>
  <c r="AS211" i="5"/>
  <c r="AS210" i="5"/>
  <c r="AV210" i="5" s="1"/>
  <c r="AY210" i="5" s="1"/>
  <c r="BB210" i="5" s="1"/>
  <c r="BE210" i="5" s="1"/>
  <c r="BH210" i="5" s="1"/>
  <c r="AS209" i="5"/>
  <c r="AV209" i="5" s="1"/>
  <c r="AY209" i="5" s="1"/>
  <c r="BB209" i="5" s="1"/>
  <c r="BE209" i="5" s="1"/>
  <c r="BH209" i="5" s="1"/>
  <c r="AS208" i="5"/>
  <c r="AV208" i="5" s="1"/>
  <c r="AY208" i="5" s="1"/>
  <c r="BB208" i="5" s="1"/>
  <c r="BE208" i="5" s="1"/>
  <c r="BH208" i="5" s="1"/>
  <c r="AS207" i="5"/>
  <c r="AV207" i="5" s="1"/>
  <c r="AY207" i="5" s="1"/>
  <c r="BB207" i="5" s="1"/>
  <c r="BE207" i="5" s="1"/>
  <c r="BH207" i="5" s="1"/>
  <c r="AS206" i="5"/>
  <c r="AV206" i="5" s="1"/>
  <c r="AY206" i="5" s="1"/>
  <c r="BB206" i="5" s="1"/>
  <c r="BE206" i="5" s="1"/>
  <c r="BH206" i="5" s="1"/>
  <c r="AS205" i="5"/>
  <c r="AV205" i="5" s="1"/>
  <c r="AY205" i="5" s="1"/>
  <c r="BB205" i="5" s="1"/>
  <c r="BE205" i="5" s="1"/>
  <c r="BH205" i="5" s="1"/>
  <c r="AS204" i="5"/>
  <c r="AV204" i="5" s="1"/>
  <c r="AY204" i="5" s="1"/>
  <c r="BB204" i="5" s="1"/>
  <c r="BE204" i="5" s="1"/>
  <c r="BH204" i="5" s="1"/>
  <c r="AS203" i="5"/>
  <c r="AV203" i="5" s="1"/>
  <c r="AY203" i="5" s="1"/>
  <c r="AS201" i="5"/>
  <c r="AV201" i="5" s="1"/>
  <c r="AY201" i="5" s="1"/>
  <c r="BB201" i="5" s="1"/>
  <c r="BE201" i="5" s="1"/>
  <c r="BH201" i="5" s="1"/>
  <c r="AS200" i="5"/>
  <c r="AV200" i="5" s="1"/>
  <c r="AY200" i="5" s="1"/>
  <c r="BB200" i="5" s="1"/>
  <c r="BE200" i="5" s="1"/>
  <c r="BH200" i="5" s="1"/>
  <c r="AS191" i="5"/>
  <c r="AV191" i="5" s="1"/>
  <c r="AY191" i="5" s="1"/>
  <c r="BB191" i="5" s="1"/>
  <c r="BE191" i="5" s="1"/>
  <c r="BH191" i="5" s="1"/>
  <c r="AS190" i="5"/>
  <c r="AV190" i="5" s="1"/>
  <c r="AY190" i="5" s="1"/>
  <c r="BB190" i="5" s="1"/>
  <c r="BE190" i="5" s="1"/>
  <c r="BH190" i="5" s="1"/>
  <c r="AS189" i="5"/>
  <c r="AV189" i="5" s="1"/>
  <c r="AY189" i="5" s="1"/>
  <c r="AS177" i="5"/>
  <c r="AS178" i="5"/>
  <c r="AV178" i="5" s="1"/>
  <c r="AY178" i="5" s="1"/>
  <c r="BB178" i="5" s="1"/>
  <c r="BE178" i="5" s="1"/>
  <c r="BH178" i="5" s="1"/>
  <c r="AS180" i="5"/>
  <c r="AV180" i="5" s="1"/>
  <c r="AY180" i="5" s="1"/>
  <c r="BB180" i="5" s="1"/>
  <c r="BE180" i="5" s="1"/>
  <c r="BH180" i="5" s="1"/>
  <c r="AS60" i="5"/>
  <c r="AV60" i="5" s="1"/>
  <c r="AY60" i="5" s="1"/>
  <c r="BB60" i="5" s="1"/>
  <c r="BE60" i="5" s="1"/>
  <c r="BH60" i="5" s="1"/>
  <c r="AS59" i="5"/>
  <c r="AV59" i="5" s="1"/>
  <c r="AY59" i="5" s="1"/>
  <c r="BB59" i="5" s="1"/>
  <c r="BE59" i="5" s="1"/>
  <c r="BH59" i="5" s="1"/>
  <c r="AS165" i="5"/>
  <c r="AV165" i="5" s="1"/>
  <c r="AY165" i="5" s="1"/>
  <c r="BB165" i="5" s="1"/>
  <c r="BE165" i="5" s="1"/>
  <c r="BH165" i="5" s="1"/>
  <c r="AS166" i="5"/>
  <c r="AV166" i="5" s="1"/>
  <c r="AY166" i="5" s="1"/>
  <c r="BB166" i="5" s="1"/>
  <c r="BE166" i="5" s="1"/>
  <c r="BH166" i="5" s="1"/>
  <c r="AS167" i="5"/>
  <c r="AV167" i="5" s="1"/>
  <c r="AY167" i="5" s="1"/>
  <c r="BB167" i="5" s="1"/>
  <c r="BE167" i="5" s="1"/>
  <c r="BH167" i="5" s="1"/>
  <c r="AS168" i="5"/>
  <c r="AV168" i="5" s="1"/>
  <c r="AY168" i="5" s="1"/>
  <c r="BB168" i="5" s="1"/>
  <c r="BE168" i="5" s="1"/>
  <c r="BH168" i="5" s="1"/>
  <c r="AS169" i="5"/>
  <c r="AV169" i="5" s="1"/>
  <c r="AY169" i="5" s="1"/>
  <c r="BB169" i="5" s="1"/>
  <c r="BE169" i="5" s="1"/>
  <c r="BH169" i="5" s="1"/>
  <c r="AS170" i="5"/>
  <c r="AV170" i="5" s="1"/>
  <c r="AY170" i="5" s="1"/>
  <c r="BB170" i="5" s="1"/>
  <c r="BE170" i="5" s="1"/>
  <c r="BH170" i="5" s="1"/>
  <c r="AS171" i="5"/>
  <c r="AV171" i="5" s="1"/>
  <c r="AY171" i="5" s="1"/>
  <c r="BB171" i="5" s="1"/>
  <c r="AS172" i="5"/>
  <c r="AV172" i="5" s="1"/>
  <c r="AY172" i="5" s="1"/>
  <c r="BB172" i="5" s="1"/>
  <c r="BE172" i="5" s="1"/>
  <c r="BH172" i="5" s="1"/>
  <c r="AS174" i="5"/>
  <c r="AV174" i="5" s="1"/>
  <c r="AY174" i="5" s="1"/>
  <c r="BB174" i="5" s="1"/>
  <c r="BE174" i="5" s="1"/>
  <c r="BH174" i="5" s="1"/>
  <c r="AS175" i="5"/>
  <c r="AV175" i="5" s="1"/>
  <c r="AY175" i="5" s="1"/>
  <c r="BB175" i="5" s="1"/>
  <c r="BE175" i="5" s="1"/>
  <c r="BH175" i="5" s="1"/>
  <c r="AS164" i="5"/>
  <c r="AV164" i="5" s="1"/>
  <c r="AY164" i="5" s="1"/>
  <c r="AS158" i="5"/>
  <c r="AV158" i="5" s="1"/>
  <c r="AS155" i="5"/>
  <c r="AV155" i="5" s="1"/>
  <c r="AY155" i="5" s="1"/>
  <c r="BB155" i="5" s="1"/>
  <c r="BE155" i="5" s="1"/>
  <c r="BH155" i="5" s="1"/>
  <c r="AS152" i="5"/>
  <c r="AV152" i="5" s="1"/>
  <c r="AY152" i="5" s="1"/>
  <c r="AS150" i="5"/>
  <c r="AS145" i="5"/>
  <c r="AS151" i="5" s="1"/>
  <c r="AS136" i="5"/>
  <c r="AS134" i="5"/>
  <c r="AV134" i="5" s="1"/>
  <c r="AY134" i="5" s="1"/>
  <c r="BB134" i="5" s="1"/>
  <c r="BE134" i="5" s="1"/>
  <c r="BH134" i="5" s="1"/>
  <c r="AS132" i="5"/>
  <c r="AV132" i="5" s="1"/>
  <c r="AY132" i="5" s="1"/>
  <c r="AS127" i="5"/>
  <c r="AS131" i="5" s="1"/>
  <c r="AS123" i="5"/>
  <c r="AV123" i="5" s="1"/>
  <c r="AY123" i="5" s="1"/>
  <c r="BB123" i="5" s="1"/>
  <c r="BE123" i="5" s="1"/>
  <c r="BH123" i="5" s="1"/>
  <c r="AS122" i="5"/>
  <c r="AV122" i="5" s="1"/>
  <c r="AY122" i="5" s="1"/>
  <c r="BB122" i="5" s="1"/>
  <c r="AS121" i="5"/>
  <c r="AS120" i="5"/>
  <c r="AK120" i="5"/>
  <c r="AK121" i="5"/>
  <c r="AS119" i="5"/>
  <c r="AS112" i="5"/>
  <c r="AV112" i="5" s="1"/>
  <c r="AY112" i="5" s="1"/>
  <c r="BB112" i="5" s="1"/>
  <c r="BE112" i="5" s="1"/>
  <c r="BH112" i="5" s="1"/>
  <c r="AS111" i="5"/>
  <c r="AV111" i="5" s="1"/>
  <c r="AY111" i="5" s="1"/>
  <c r="BB111" i="5" s="1"/>
  <c r="BE111" i="5" s="1"/>
  <c r="BH111" i="5" s="1"/>
  <c r="BO111" i="5" s="1"/>
  <c r="AS110" i="5"/>
  <c r="AV110" i="5" s="1"/>
  <c r="AY110" i="5" s="1"/>
  <c r="BB110" i="5" s="1"/>
  <c r="BE110" i="5" s="1"/>
  <c r="BH110" i="5" s="1"/>
  <c r="BO110" i="5" s="1"/>
  <c r="AS109" i="5"/>
  <c r="AS108" i="5"/>
  <c r="AV108" i="5" s="1"/>
  <c r="AY108" i="5" s="1"/>
  <c r="BB108" i="5" s="1"/>
  <c r="BE108" i="5" s="1"/>
  <c r="BH108" i="5" s="1"/>
  <c r="BO108" i="5" s="1"/>
  <c r="AS107" i="5"/>
  <c r="AV107" i="5" s="1"/>
  <c r="AY107" i="5" s="1"/>
  <c r="BB107" i="5" s="1"/>
  <c r="BE107" i="5" s="1"/>
  <c r="BH107" i="5" s="1"/>
  <c r="AS106" i="5"/>
  <c r="AV106" i="5" s="1"/>
  <c r="AY106" i="5" s="1"/>
  <c r="BB106" i="5" s="1"/>
  <c r="BE106" i="5" s="1"/>
  <c r="BH106" i="5" s="1"/>
  <c r="AS105" i="5"/>
  <c r="AV105" i="5" s="1"/>
  <c r="AY105" i="5" s="1"/>
  <c r="AS104" i="5"/>
  <c r="AV104" i="5" s="1"/>
  <c r="AY104" i="5" s="1"/>
  <c r="BB104" i="5" s="1"/>
  <c r="BE104" i="5" s="1"/>
  <c r="BH104" i="5" s="1"/>
  <c r="AS97" i="5"/>
  <c r="AS95" i="5"/>
  <c r="AV95" i="5" s="1"/>
  <c r="AY95" i="5" s="1"/>
  <c r="BB95" i="5" s="1"/>
  <c r="BE95" i="5" s="1"/>
  <c r="BH95" i="5" s="1"/>
  <c r="AS94" i="5"/>
  <c r="AV94" i="5" s="1"/>
  <c r="AY94" i="5" s="1"/>
  <c r="AS93" i="5"/>
  <c r="AV93" i="5" s="1"/>
  <c r="AY93" i="5" s="1"/>
  <c r="BB93" i="5" s="1"/>
  <c r="BE93" i="5" s="1"/>
  <c r="BH93" i="5" s="1"/>
  <c r="AS86" i="5"/>
  <c r="AS71" i="5"/>
  <c r="AV71" i="5" s="1"/>
  <c r="AY71" i="5" s="1"/>
  <c r="AS72" i="5"/>
  <c r="AV72" i="5" s="1"/>
  <c r="AY72" i="5" s="1"/>
  <c r="BB72" i="5" s="1"/>
  <c r="BE72" i="5" s="1"/>
  <c r="BH72" i="5" s="1"/>
  <c r="AS73" i="5"/>
  <c r="AV73" i="5" s="1"/>
  <c r="AY73" i="5" s="1"/>
  <c r="BB73" i="5" s="1"/>
  <c r="BE73" i="5" s="1"/>
  <c r="BH73" i="5" s="1"/>
  <c r="AS74" i="5"/>
  <c r="AV74" i="5" s="1"/>
  <c r="AY74" i="5" s="1"/>
  <c r="BB74" i="5" s="1"/>
  <c r="BE74" i="5" s="1"/>
  <c r="BH74" i="5" s="1"/>
  <c r="AS75" i="5"/>
  <c r="AV75" i="5" s="1"/>
  <c r="AY75" i="5" s="1"/>
  <c r="BB75" i="5" s="1"/>
  <c r="BE75" i="5" s="1"/>
  <c r="BH75" i="5" s="1"/>
  <c r="AS76" i="5"/>
  <c r="AV76" i="5" s="1"/>
  <c r="AY76" i="5" s="1"/>
  <c r="BB76" i="5" s="1"/>
  <c r="BE76" i="5" s="1"/>
  <c r="BH76" i="5" s="1"/>
  <c r="AS77" i="5"/>
  <c r="AV77" i="5" s="1"/>
  <c r="AY77" i="5" s="1"/>
  <c r="BB77" i="5" s="1"/>
  <c r="BE77" i="5" s="1"/>
  <c r="BH77" i="5" s="1"/>
  <c r="AS78" i="5"/>
  <c r="AS70" i="5"/>
  <c r="AV70" i="5" s="1"/>
  <c r="AY70" i="5" s="1"/>
  <c r="BB70" i="5" s="1"/>
  <c r="BE70" i="5" s="1"/>
  <c r="BH70" i="5" s="1"/>
  <c r="AS64" i="5"/>
  <c r="AV64" i="5" s="1"/>
  <c r="AY64" i="5" s="1"/>
  <c r="BB64" i="5" s="1"/>
  <c r="BE64" i="5" s="1"/>
  <c r="BH64" i="5" s="1"/>
  <c r="AS62" i="5"/>
  <c r="AV62" i="5" s="1"/>
  <c r="AY62" i="5" s="1"/>
  <c r="BB62" i="5" s="1"/>
  <c r="BE62" i="5" s="1"/>
  <c r="BH62" i="5" s="1"/>
  <c r="AS61" i="5"/>
  <c r="AV61" i="5" s="1"/>
  <c r="AY61" i="5" s="1"/>
  <c r="BE61" i="5" s="1"/>
  <c r="BH61" i="5" s="1"/>
  <c r="AS56" i="5"/>
  <c r="AV56" i="5" s="1"/>
  <c r="AY56" i="5" s="1"/>
  <c r="AS45" i="5"/>
  <c r="AS40" i="5"/>
  <c r="AS32" i="5"/>
  <c r="AS26" i="5"/>
  <c r="AS14" i="5"/>
  <c r="AV14" i="5" s="1"/>
  <c r="AY14" i="5" s="1"/>
  <c r="AS12" i="5"/>
  <c r="AV12" i="5" s="1"/>
  <c r="AY12" i="5" s="1"/>
  <c r="BB12" i="5" s="1"/>
  <c r="BE12" i="5" s="1"/>
  <c r="BH12" i="5" s="1"/>
  <c r="AS5" i="5"/>
  <c r="AS307" i="5"/>
  <c r="AZ115" i="4"/>
  <c r="AZ111" i="4"/>
  <c r="AZ89" i="4"/>
  <c r="AZ33" i="4"/>
  <c r="AZ22" i="4"/>
  <c r="BA95" i="4"/>
  <c r="BD95" i="4" s="1"/>
  <c r="BA87" i="4"/>
  <c r="BD87" i="4" s="1"/>
  <c r="BG87" i="4" s="1"/>
  <c r="BJ87" i="4" s="1"/>
  <c r="BM87" i="4" s="1"/>
  <c r="BA84" i="4"/>
  <c r="BD84" i="4" s="1"/>
  <c r="BG84" i="4" s="1"/>
  <c r="BJ84" i="4" s="1"/>
  <c r="BM84" i="4" s="1"/>
  <c r="BA83" i="4"/>
  <c r="BD83" i="4" s="1"/>
  <c r="BG83" i="4" s="1"/>
  <c r="BJ83" i="4" s="1"/>
  <c r="BM83" i="4" s="1"/>
  <c r="BA82" i="4"/>
  <c r="BD82" i="4" s="1"/>
  <c r="BG82" i="4" s="1"/>
  <c r="BJ82" i="4" s="1"/>
  <c r="BM82" i="4" s="1"/>
  <c r="BA81" i="4"/>
  <c r="BD81" i="4" s="1"/>
  <c r="BG81" i="4" s="1"/>
  <c r="BJ81" i="4" s="1"/>
  <c r="BM81" i="4" s="1"/>
  <c r="BA80" i="4"/>
  <c r="BD80" i="4" s="1"/>
  <c r="BG80" i="4" s="1"/>
  <c r="BJ80" i="4" s="1"/>
  <c r="BM80" i="4" s="1"/>
  <c r="BA79" i="4"/>
  <c r="BD79" i="4" s="1"/>
  <c r="BG79" i="4" s="1"/>
  <c r="BJ79" i="4" s="1"/>
  <c r="BM79" i="4" s="1"/>
  <c r="BA76" i="4"/>
  <c r="BD76" i="4" s="1"/>
  <c r="BA74" i="4"/>
  <c r="BD74" i="4" s="1"/>
  <c r="BG74" i="4" s="1"/>
  <c r="BJ74" i="4" s="1"/>
  <c r="BA61" i="4"/>
  <c r="BD61" i="4" s="1"/>
  <c r="BG61" i="4" s="1"/>
  <c r="BJ61" i="4" s="1"/>
  <c r="BM61" i="4" s="1"/>
  <c r="BA38" i="4"/>
  <c r="BD38" i="4" s="1"/>
  <c r="BG38" i="4" s="1"/>
  <c r="BJ38" i="4" s="1"/>
  <c r="BM38" i="4" s="1"/>
  <c r="BA35" i="4"/>
  <c r="BD35" i="4" s="1"/>
  <c r="BG35" i="4" s="1"/>
  <c r="BJ35" i="4" s="1"/>
  <c r="BM35" i="4" s="1"/>
  <c r="BA25" i="4"/>
  <c r="BD25" i="4" s="1"/>
  <c r="BG25" i="4" s="1"/>
  <c r="BJ25" i="4" s="1"/>
  <c r="BM25" i="4" s="1"/>
  <c r="BA27" i="4"/>
  <c r="BD27" i="4" s="1"/>
  <c r="BG27" i="4" s="1"/>
  <c r="BA28" i="4"/>
  <c r="BD28" i="4" s="1"/>
  <c r="BG28" i="4" s="1"/>
  <c r="BJ28" i="4" s="1"/>
  <c r="BM28" i="4" s="1"/>
  <c r="BA29" i="4"/>
  <c r="BD29" i="4" s="1"/>
  <c r="BG29" i="4" s="1"/>
  <c r="BA30" i="4"/>
  <c r="BD30" i="4" s="1"/>
  <c r="BG30" i="4" s="1"/>
  <c r="BJ30" i="4" s="1"/>
  <c r="BA24" i="4"/>
  <c r="BD24" i="4" s="1"/>
  <c r="BG24" i="4" s="1"/>
  <c r="BA6" i="4"/>
  <c r="BD6" i="4" s="1"/>
  <c r="BG6" i="4" s="1"/>
  <c r="BJ6" i="4" s="1"/>
  <c r="BM6" i="4" s="1"/>
  <c r="BA7" i="4"/>
  <c r="BD7" i="4" s="1"/>
  <c r="BG7" i="4" s="1"/>
  <c r="BJ7" i="4" s="1"/>
  <c r="BM7" i="4" s="1"/>
  <c r="BA8" i="4"/>
  <c r="BD8" i="4" s="1"/>
  <c r="BG8" i="4" s="1"/>
  <c r="BJ8" i="4" s="1"/>
  <c r="BM8" i="4" s="1"/>
  <c r="BA9" i="4"/>
  <c r="BD9" i="4" s="1"/>
  <c r="BG9" i="4" s="1"/>
  <c r="BJ9" i="4" s="1"/>
  <c r="BA10" i="4"/>
  <c r="BD10" i="4" s="1"/>
  <c r="BG10" i="4" s="1"/>
  <c r="BJ10" i="4" s="1"/>
  <c r="BM10" i="4" s="1"/>
  <c r="BA11" i="4"/>
  <c r="BD11" i="4" s="1"/>
  <c r="BG11" i="4" s="1"/>
  <c r="BJ11" i="4" s="1"/>
  <c r="BM11" i="4" s="1"/>
  <c r="BA12" i="4"/>
  <c r="BD12" i="4" s="1"/>
  <c r="BG12" i="4" s="1"/>
  <c r="BJ12" i="4" s="1"/>
  <c r="BM12" i="4" s="1"/>
  <c r="BA13" i="4"/>
  <c r="BD13" i="4" s="1"/>
  <c r="BG13" i="4" s="1"/>
  <c r="BJ13" i="4" s="1"/>
  <c r="BM13" i="4" s="1"/>
  <c r="BA15" i="4"/>
  <c r="BD15" i="4" s="1"/>
  <c r="BG15" i="4" s="1"/>
  <c r="BJ15" i="4" s="1"/>
  <c r="BM15" i="4" s="1"/>
  <c r="BA16" i="4"/>
  <c r="BD16" i="4" s="1"/>
  <c r="BG16" i="4" s="1"/>
  <c r="BJ16" i="4" s="1"/>
  <c r="BM16" i="4" s="1"/>
  <c r="BA18" i="4"/>
  <c r="BD18" i="4" s="1"/>
  <c r="BG18" i="4" s="1"/>
  <c r="BJ18" i="4" s="1"/>
  <c r="BA21" i="4"/>
  <c r="BD21" i="4" s="1"/>
  <c r="BG21" i="4" s="1"/>
  <c r="BJ21" i="4" s="1"/>
  <c r="BM21" i="4" s="1"/>
  <c r="AK176" i="5"/>
  <c r="AS176" i="5" s="1"/>
  <c r="AV176" i="5" s="1"/>
  <c r="AY176" i="5" s="1"/>
  <c r="BB176" i="5" s="1"/>
  <c r="BE176" i="5" s="1"/>
  <c r="BH176" i="5" s="1"/>
  <c r="AP176" i="5"/>
  <c r="AK329" i="5"/>
  <c r="AK318" i="5"/>
  <c r="AK313" i="5"/>
  <c r="AK306" i="5"/>
  <c r="AK302" i="5"/>
  <c r="AK293" i="5"/>
  <c r="AK295" i="5"/>
  <c r="AK294" i="5"/>
  <c r="L293" i="5"/>
  <c r="AK260" i="5"/>
  <c r="AK230" i="5"/>
  <c r="AK225" i="5"/>
  <c r="AK224" i="5"/>
  <c r="AK223" i="5"/>
  <c r="AK195" i="5"/>
  <c r="AK187" i="5"/>
  <c r="AK162" i="5"/>
  <c r="AK151" i="5"/>
  <c r="AK150" i="5"/>
  <c r="AK139" i="5"/>
  <c r="AK138" i="5"/>
  <c r="AK131" i="5"/>
  <c r="D16" i="34"/>
  <c r="F13" i="34"/>
  <c r="E13" i="34"/>
  <c r="F10" i="34"/>
  <c r="E10" i="34"/>
  <c r="CS37" i="5" l="1"/>
  <c r="CV32" i="5"/>
  <c r="CS31" i="5"/>
  <c r="CV26" i="5"/>
  <c r="CS116" i="5"/>
  <c r="CV109" i="5"/>
  <c r="CS302" i="5"/>
  <c r="CV299" i="5"/>
  <c r="CS142" i="5"/>
  <c r="CV141" i="5"/>
  <c r="CS54" i="5"/>
  <c r="CV45" i="5"/>
  <c r="CS306" i="5"/>
  <c r="CV303" i="5"/>
  <c r="CV225" i="5"/>
  <c r="CY218" i="5"/>
  <c r="CY225" i="5" s="1"/>
  <c r="CS102" i="5"/>
  <c r="CV97" i="5"/>
  <c r="CS313" i="5"/>
  <c r="CV307" i="5"/>
  <c r="CS294" i="5"/>
  <c r="CV282" i="5"/>
  <c r="CS139" i="5"/>
  <c r="CV136" i="5"/>
  <c r="CS25" i="5"/>
  <c r="CV14" i="5"/>
  <c r="CP333" i="5"/>
  <c r="CS8" i="5"/>
  <c r="CV5" i="5"/>
  <c r="CS81" i="5"/>
  <c r="CV78" i="5"/>
  <c r="CS121" i="5"/>
  <c r="CV118" i="5"/>
  <c r="CY152" i="5"/>
  <c r="CY162" i="5" s="1"/>
  <c r="CV162" i="5"/>
  <c r="CH25" i="4"/>
  <c r="CE33" i="4"/>
  <c r="CE113" i="4" s="1"/>
  <c r="CE1" i="4" s="1"/>
  <c r="CP120" i="5"/>
  <c r="CS117" i="5"/>
  <c r="CP230" i="5"/>
  <c r="CS228" i="5"/>
  <c r="CP87" i="5"/>
  <c r="CS86" i="5"/>
  <c r="CP195" i="5"/>
  <c r="CS189" i="5"/>
  <c r="CP143" i="5"/>
  <c r="CS140" i="5"/>
  <c r="CP150" i="5"/>
  <c r="CS144" i="5"/>
  <c r="CP197" i="5"/>
  <c r="CS196" i="5"/>
  <c r="CP318" i="5"/>
  <c r="CS314" i="5"/>
  <c r="CP131" i="5"/>
  <c r="CS127" i="5"/>
  <c r="CP80" i="5"/>
  <c r="CS73" i="5"/>
  <c r="CP188" i="5"/>
  <c r="CS181" i="5"/>
  <c r="CP43" i="5"/>
  <c r="CS40" i="5"/>
  <c r="CM101" i="5"/>
  <c r="CP95" i="5"/>
  <c r="CM115" i="5"/>
  <c r="CP105" i="5"/>
  <c r="CM138" i="5"/>
  <c r="CP134" i="5"/>
  <c r="CM335" i="5"/>
  <c r="CJ293" i="5"/>
  <c r="CM264" i="5"/>
  <c r="CG1" i="5"/>
  <c r="BI24" i="4"/>
  <c r="BI33" i="4" s="1"/>
  <c r="AK186" i="5"/>
  <c r="BK176" i="5"/>
  <c r="BO176" i="5"/>
  <c r="BO72" i="5"/>
  <c r="BK72" i="5"/>
  <c r="BO201" i="5"/>
  <c r="BK201" i="5"/>
  <c r="BK210" i="5"/>
  <c r="BO210" i="5"/>
  <c r="BO267" i="5"/>
  <c r="BK267" i="5"/>
  <c r="BO271" i="5"/>
  <c r="BK271" i="5"/>
  <c r="BO276" i="5"/>
  <c r="BK276" i="5"/>
  <c r="BO280" i="5"/>
  <c r="BK280" i="5"/>
  <c r="BO284" i="5"/>
  <c r="BK284" i="5"/>
  <c r="BO288" i="5"/>
  <c r="BK288" i="5"/>
  <c r="BO12" i="5"/>
  <c r="BK12" i="5"/>
  <c r="BO62" i="5"/>
  <c r="BK62" i="5"/>
  <c r="BK77" i="5"/>
  <c r="BO77" i="5"/>
  <c r="BK73" i="5"/>
  <c r="BO73" i="5"/>
  <c r="BK93" i="5"/>
  <c r="BO93" i="5"/>
  <c r="BO112" i="5"/>
  <c r="BK112" i="5"/>
  <c r="BO172" i="5"/>
  <c r="BK172" i="5"/>
  <c r="BO168" i="5"/>
  <c r="BK168" i="5"/>
  <c r="BK59" i="5"/>
  <c r="BO59" i="5"/>
  <c r="BO200" i="5"/>
  <c r="BK200" i="5"/>
  <c r="BO205" i="5"/>
  <c r="BK205" i="5"/>
  <c r="BO209" i="5"/>
  <c r="BK209" i="5"/>
  <c r="BO213" i="5"/>
  <c r="BK213" i="5"/>
  <c r="BO270" i="5"/>
  <c r="BK270" i="5"/>
  <c r="BK275" i="5"/>
  <c r="BO275" i="5"/>
  <c r="BO279" i="5"/>
  <c r="BK279" i="5"/>
  <c r="BK283" i="5"/>
  <c r="BO283" i="5"/>
  <c r="BO287" i="5"/>
  <c r="BK287" i="5"/>
  <c r="BK64" i="5"/>
  <c r="BO64" i="5"/>
  <c r="BO60" i="5"/>
  <c r="BK60" i="5"/>
  <c r="BO206" i="5"/>
  <c r="BK206" i="5"/>
  <c r="BK61" i="5"/>
  <c r="BO61" i="5"/>
  <c r="BO155" i="5"/>
  <c r="BK155" i="5"/>
  <c r="BK169" i="5"/>
  <c r="BO169" i="5"/>
  <c r="BO178" i="5"/>
  <c r="BK178" i="5"/>
  <c r="BO191" i="5"/>
  <c r="BK191" i="5"/>
  <c r="BK208" i="5"/>
  <c r="BO208" i="5"/>
  <c r="BK212" i="5"/>
  <c r="BO212" i="5"/>
  <c r="BO228" i="5"/>
  <c r="BK228" i="5"/>
  <c r="BO261" i="5"/>
  <c r="BK261" i="5"/>
  <c r="BO265" i="5"/>
  <c r="BK265" i="5"/>
  <c r="BO274" i="5"/>
  <c r="BK274" i="5"/>
  <c r="BO278" i="5"/>
  <c r="BK278" i="5"/>
  <c r="BO286" i="5"/>
  <c r="BK286" i="5"/>
  <c r="BK147" i="5"/>
  <c r="BO147" i="5"/>
  <c r="BH151" i="5"/>
  <c r="BO76" i="5"/>
  <c r="BK76" i="5"/>
  <c r="BK167" i="5"/>
  <c r="BO167" i="5"/>
  <c r="BK263" i="5"/>
  <c r="BO263" i="5"/>
  <c r="BO74" i="5"/>
  <c r="BK74" i="5"/>
  <c r="BK107" i="5"/>
  <c r="BO107" i="5"/>
  <c r="BK123" i="5"/>
  <c r="BO123" i="5"/>
  <c r="BK174" i="5"/>
  <c r="BO174" i="5"/>
  <c r="BO165" i="5"/>
  <c r="BK165" i="5"/>
  <c r="BK204" i="5"/>
  <c r="BO204" i="5"/>
  <c r="BK70" i="5"/>
  <c r="BO70" i="5"/>
  <c r="BO75" i="5"/>
  <c r="BK75" i="5"/>
  <c r="BO95" i="5"/>
  <c r="BK95" i="5"/>
  <c r="BO106" i="5"/>
  <c r="BK106" i="5"/>
  <c r="BO134" i="5"/>
  <c r="BK134" i="5"/>
  <c r="BK175" i="5"/>
  <c r="BO175" i="5"/>
  <c r="BO170" i="5"/>
  <c r="BK170" i="5"/>
  <c r="BK166" i="5"/>
  <c r="BO166" i="5"/>
  <c r="BK180" i="5"/>
  <c r="BO180" i="5"/>
  <c r="BO190" i="5"/>
  <c r="BK190" i="5"/>
  <c r="BO207" i="5"/>
  <c r="BK207" i="5"/>
  <c r="BO264" i="5"/>
  <c r="BK264" i="5"/>
  <c r="BK268" i="5"/>
  <c r="BO268" i="5"/>
  <c r="BK273" i="5"/>
  <c r="BO273" i="5"/>
  <c r="BK277" i="5"/>
  <c r="BO277" i="5"/>
  <c r="BK281" i="5"/>
  <c r="BO281" i="5"/>
  <c r="BK285" i="5"/>
  <c r="BO285" i="5"/>
  <c r="BO325" i="5"/>
  <c r="BK325" i="5"/>
  <c r="N13" i="37"/>
  <c r="BD337" i="5"/>
  <c r="BD1" i="5" s="1"/>
  <c r="Q12" i="38"/>
  <c r="Q15" i="38" s="1"/>
  <c r="AV225" i="5"/>
  <c r="AY218" i="5"/>
  <c r="AY68" i="5"/>
  <c r="BB56" i="5"/>
  <c r="BE122" i="5"/>
  <c r="BH122" i="5" s="1"/>
  <c r="BB203" i="5"/>
  <c r="H13" i="38"/>
  <c r="H13" i="37"/>
  <c r="BB14" i="5"/>
  <c r="BB94" i="5"/>
  <c r="BB105" i="5"/>
  <c r="BB132" i="5"/>
  <c r="BB164" i="5"/>
  <c r="BE164" i="5" s="1"/>
  <c r="BH164" i="5" s="1"/>
  <c r="AV329" i="5"/>
  <c r="AY324" i="5"/>
  <c r="BB324" i="5" s="1"/>
  <c r="BE324" i="5" s="1"/>
  <c r="BH324" i="5" s="1"/>
  <c r="AV162" i="5"/>
  <c r="AY158" i="5"/>
  <c r="BB158" i="5" s="1"/>
  <c r="BE158" i="5" s="1"/>
  <c r="BH158" i="5" s="1"/>
  <c r="AY260" i="5"/>
  <c r="BB231" i="5"/>
  <c r="BB262" i="5"/>
  <c r="BB319" i="5"/>
  <c r="AU337" i="5"/>
  <c r="K12" i="38"/>
  <c r="K12" i="37"/>
  <c r="AX337" i="5"/>
  <c r="AX1" i="5" s="1"/>
  <c r="N12" i="38"/>
  <c r="N12" i="37"/>
  <c r="AS318" i="5"/>
  <c r="AV314" i="5"/>
  <c r="BA337" i="5"/>
  <c r="BA1" i="5" s="1"/>
  <c r="BB199" i="5"/>
  <c r="BE198" i="5"/>
  <c r="AS87" i="5"/>
  <c r="AV86" i="5"/>
  <c r="AS306" i="5"/>
  <c r="AV303" i="5"/>
  <c r="AS313" i="5"/>
  <c r="AV307" i="5"/>
  <c r="BB71" i="5"/>
  <c r="BB152" i="5"/>
  <c r="BE171" i="5"/>
  <c r="BH171" i="5" s="1"/>
  <c r="K14" i="36"/>
  <c r="K14" i="38"/>
  <c r="K14" i="37"/>
  <c r="AS54" i="5"/>
  <c r="AV45" i="5"/>
  <c r="AY195" i="5"/>
  <c r="BB189" i="5"/>
  <c r="BB226" i="5"/>
  <c r="AS302" i="5"/>
  <c r="AV299" i="5"/>
  <c r="H14" i="38"/>
  <c r="H14" i="37"/>
  <c r="K13" i="36"/>
  <c r="K13" i="38"/>
  <c r="K13" i="37"/>
  <c r="N14" i="38"/>
  <c r="N14" i="37"/>
  <c r="BG76" i="4"/>
  <c r="BJ76" i="4" s="1"/>
  <c r="BD89" i="4"/>
  <c r="H8" i="38"/>
  <c r="H8" i="36"/>
  <c r="H8" i="37"/>
  <c r="BG95" i="4"/>
  <c r="BJ95" i="4" s="1"/>
  <c r="BD111" i="4"/>
  <c r="H7" i="38"/>
  <c r="H7" i="37"/>
  <c r="H7" i="36"/>
  <c r="BA115" i="4"/>
  <c r="BG5" i="4"/>
  <c r="BD115" i="4"/>
  <c r="H5" i="38"/>
  <c r="H5" i="37"/>
  <c r="H5" i="36"/>
  <c r="BD33" i="4"/>
  <c r="H6" i="38"/>
  <c r="H6" i="36"/>
  <c r="H6" i="37"/>
  <c r="BA89" i="4"/>
  <c r="AZ113" i="4"/>
  <c r="AZ1" i="4" s="1"/>
  <c r="BA111" i="4"/>
  <c r="L23" i="37"/>
  <c r="O20" i="37"/>
  <c r="O23" i="37" s="1"/>
  <c r="K12" i="36"/>
  <c r="AS43" i="5"/>
  <c r="AV40" i="5"/>
  <c r="AS139" i="5"/>
  <c r="AV136" i="5"/>
  <c r="AV138" i="5" s="1"/>
  <c r="AS224" i="5"/>
  <c r="AV211" i="5"/>
  <c r="H13" i="36"/>
  <c r="AS37" i="5"/>
  <c r="AV32" i="5"/>
  <c r="AS81" i="5"/>
  <c r="AV78" i="5"/>
  <c r="AV80" i="5" s="1"/>
  <c r="AS102" i="5"/>
  <c r="AV97" i="5"/>
  <c r="H14" i="36"/>
  <c r="AS31" i="5"/>
  <c r="AV26" i="5"/>
  <c r="AV195" i="5"/>
  <c r="AV68" i="5"/>
  <c r="AV260" i="5"/>
  <c r="AR332" i="5"/>
  <c r="AR337" i="5" s="1"/>
  <c r="AR1" i="5" s="1"/>
  <c r="AS116" i="5"/>
  <c r="AV109" i="5"/>
  <c r="AV115" i="5" s="1"/>
  <c r="AS8" i="5"/>
  <c r="AV5" i="5"/>
  <c r="AS187" i="5"/>
  <c r="AV177" i="5"/>
  <c r="AS294" i="5"/>
  <c r="AV282" i="5"/>
  <c r="AV293" i="5" s="1"/>
  <c r="AS230" i="5"/>
  <c r="AV227" i="5"/>
  <c r="AY227" i="5" s="1"/>
  <c r="BB227" i="5" s="1"/>
  <c r="BE227" i="5" s="1"/>
  <c r="BH227" i="5" s="1"/>
  <c r="AS138" i="5"/>
  <c r="AS329" i="5"/>
  <c r="AS101" i="5"/>
  <c r="AS115" i="5"/>
  <c r="AS186" i="5"/>
  <c r="AS162" i="5"/>
  <c r="AS223" i="5"/>
  <c r="AS260" i="5"/>
  <c r="AS80" i="5"/>
  <c r="AS195" i="5"/>
  <c r="AS225" i="5"/>
  <c r="AS293" i="5"/>
  <c r="AS68" i="5"/>
  <c r="BA33" i="4"/>
  <c r="CP335" i="5" l="1"/>
  <c r="CS333" i="5"/>
  <c r="CY118" i="5"/>
  <c r="CY121" i="5" s="1"/>
  <c r="CV121" i="5"/>
  <c r="CV8" i="5"/>
  <c r="CY5" i="5"/>
  <c r="CS43" i="5"/>
  <c r="CV40" i="5"/>
  <c r="CS80" i="5"/>
  <c r="CV73" i="5"/>
  <c r="CS318" i="5"/>
  <c r="CV314" i="5"/>
  <c r="CS150" i="5"/>
  <c r="CV144" i="5"/>
  <c r="CS195" i="5"/>
  <c r="CV189" i="5"/>
  <c r="CS230" i="5"/>
  <c r="CV228" i="5"/>
  <c r="CV25" i="5"/>
  <c r="CY14" i="5"/>
  <c r="CY25" i="5" s="1"/>
  <c r="CV294" i="5"/>
  <c r="CY282" i="5"/>
  <c r="CY294" i="5" s="1"/>
  <c r="CV102" i="5"/>
  <c r="CY97" i="5"/>
  <c r="CY102" i="5" s="1"/>
  <c r="CV306" i="5"/>
  <c r="CY303" i="5"/>
  <c r="CY141" i="5"/>
  <c r="CY142" i="5" s="1"/>
  <c r="CV142" i="5"/>
  <c r="CV116" i="5"/>
  <c r="CY109" i="5"/>
  <c r="CY116" i="5" s="1"/>
  <c r="CV37" i="5"/>
  <c r="CY32" i="5"/>
  <c r="CY37" i="5" s="1"/>
  <c r="CY78" i="5"/>
  <c r="CY81" i="5" s="1"/>
  <c r="CV81" i="5"/>
  <c r="CS188" i="5"/>
  <c r="CV181" i="5"/>
  <c r="CS131" i="5"/>
  <c r="CV127" i="5"/>
  <c r="CS197" i="5"/>
  <c r="CV196" i="5"/>
  <c r="CS143" i="5"/>
  <c r="CV140" i="5"/>
  <c r="CS87" i="5"/>
  <c r="CV86" i="5"/>
  <c r="CS120" i="5"/>
  <c r="CV117" i="5"/>
  <c r="CY136" i="5"/>
  <c r="CY139" i="5" s="1"/>
  <c r="CV139" i="5"/>
  <c r="CY307" i="5"/>
  <c r="CY313" i="5" s="1"/>
  <c r="CV313" i="5"/>
  <c r="CV54" i="5"/>
  <c r="CY45" i="5"/>
  <c r="CY54" i="5" s="1"/>
  <c r="CY299" i="5"/>
  <c r="CY302" i="5" s="1"/>
  <c r="CV302" i="5"/>
  <c r="CY26" i="5"/>
  <c r="CY31" i="5" s="1"/>
  <c r="CV31" i="5"/>
  <c r="CK25" i="4"/>
  <c r="CH33" i="4"/>
  <c r="CP115" i="5"/>
  <c r="CS105" i="5"/>
  <c r="CP138" i="5"/>
  <c r="CS134" i="5"/>
  <c r="CP101" i="5"/>
  <c r="CS95" i="5"/>
  <c r="CV95" i="5" s="1"/>
  <c r="CM293" i="5"/>
  <c r="CP264" i="5"/>
  <c r="CJ332" i="5"/>
  <c r="CJ337" i="5" s="1"/>
  <c r="CJ1" i="5"/>
  <c r="BI113" i="4"/>
  <c r="BI1" i="4" s="1"/>
  <c r="Q8" i="38"/>
  <c r="Q9" i="38" s="1"/>
  <c r="Q17" i="38" s="1"/>
  <c r="Q21" i="38" s="1"/>
  <c r="Q23" i="38" s="1"/>
  <c r="Q25" i="38" s="1"/>
  <c r="BJ24" i="4"/>
  <c r="BM24" i="4" s="1"/>
  <c r="BM95" i="4"/>
  <c r="BJ111" i="4"/>
  <c r="R6" i="38" s="1"/>
  <c r="BG115" i="4"/>
  <c r="BJ5" i="4"/>
  <c r="AY162" i="5"/>
  <c r="BK171" i="5"/>
  <c r="BO171" i="5"/>
  <c r="BO227" i="5"/>
  <c r="BK227" i="5"/>
  <c r="BO158" i="5"/>
  <c r="BK158" i="5"/>
  <c r="BK164" i="5"/>
  <c r="BO164" i="5"/>
  <c r="BK151" i="5"/>
  <c r="BO151" i="5"/>
  <c r="BK324" i="5"/>
  <c r="BO324" i="5"/>
  <c r="BE199" i="5"/>
  <c r="BH198" i="5"/>
  <c r="N15" i="37"/>
  <c r="H9" i="37"/>
  <c r="N15" i="38"/>
  <c r="N25" i="38" s="1"/>
  <c r="K15" i="38"/>
  <c r="K25" i="38" s="1"/>
  <c r="AV187" i="5"/>
  <c r="AY177" i="5"/>
  <c r="AY299" i="5"/>
  <c r="AV302" i="5"/>
  <c r="BB195" i="5"/>
  <c r="BE189" i="5"/>
  <c r="BB329" i="5"/>
  <c r="BE319" i="5"/>
  <c r="BB260" i="5"/>
  <c r="BE231" i="5"/>
  <c r="BE132" i="5"/>
  <c r="BH132" i="5" s="1"/>
  <c r="BE94" i="5"/>
  <c r="BH94" i="5" s="1"/>
  <c r="AY225" i="5"/>
  <c r="BB218" i="5"/>
  <c r="H12" i="38"/>
  <c r="H15" i="38" s="1"/>
  <c r="H12" i="37"/>
  <c r="H15" i="37" s="1"/>
  <c r="AV31" i="5"/>
  <c r="AY26" i="5"/>
  <c r="AV102" i="5"/>
  <c r="AY97" i="5"/>
  <c r="AV37" i="5"/>
  <c r="AY32" i="5"/>
  <c r="AV224" i="5"/>
  <c r="AY211" i="5"/>
  <c r="AV43" i="5"/>
  <c r="AY40" i="5"/>
  <c r="BE71" i="5"/>
  <c r="BH71" i="5" s="1"/>
  <c r="AV294" i="5"/>
  <c r="AY282" i="5"/>
  <c r="BB230" i="5"/>
  <c r="BE226" i="5"/>
  <c r="AY45" i="5"/>
  <c r="AV54" i="5"/>
  <c r="AY86" i="5"/>
  <c r="AV87" i="5"/>
  <c r="BE262" i="5"/>
  <c r="BH262" i="5" s="1"/>
  <c r="BE105" i="5"/>
  <c r="BH105" i="5" s="1"/>
  <c r="BE14" i="5"/>
  <c r="BH14" i="5" s="1"/>
  <c r="BE203" i="5"/>
  <c r="BH203" i="5" s="1"/>
  <c r="BE56" i="5"/>
  <c r="BB68" i="5"/>
  <c r="AV116" i="5"/>
  <c r="AY109" i="5"/>
  <c r="AV81" i="5"/>
  <c r="AY78" i="5"/>
  <c r="AV139" i="5"/>
  <c r="AY136" i="5"/>
  <c r="BB162" i="5"/>
  <c r="BE152" i="5"/>
  <c r="AY307" i="5"/>
  <c r="AV313" i="5"/>
  <c r="AY230" i="5"/>
  <c r="AV230" i="5"/>
  <c r="K15" i="36"/>
  <c r="K17" i="36" s="1"/>
  <c r="K15" i="37"/>
  <c r="AY329" i="5"/>
  <c r="AV306" i="5"/>
  <c r="AY303" i="5"/>
  <c r="AY314" i="5"/>
  <c r="AV318" i="5"/>
  <c r="AV8" i="5"/>
  <c r="AY5" i="5"/>
  <c r="BG111" i="4"/>
  <c r="L7" i="36"/>
  <c r="L7" i="37"/>
  <c r="L7" i="38"/>
  <c r="I7" i="38"/>
  <c r="I7" i="37"/>
  <c r="I7" i="36"/>
  <c r="L6" i="36"/>
  <c r="L6" i="38"/>
  <c r="L6" i="37"/>
  <c r="L8" i="37"/>
  <c r="L8" i="36"/>
  <c r="L8" i="38"/>
  <c r="BG33" i="4"/>
  <c r="BG89" i="4"/>
  <c r="BJ89" i="4"/>
  <c r="H9" i="38"/>
  <c r="I6" i="36"/>
  <c r="I6" i="38"/>
  <c r="I6" i="37"/>
  <c r="I8" i="38"/>
  <c r="I8" i="37"/>
  <c r="I8" i="36"/>
  <c r="H9" i="36"/>
  <c r="H12" i="36"/>
  <c r="H15" i="36" s="1"/>
  <c r="AV186" i="5"/>
  <c r="AV101" i="5"/>
  <c r="AV223" i="5"/>
  <c r="AK159" i="5"/>
  <c r="AK20" i="5"/>
  <c r="AS20" i="5" s="1"/>
  <c r="AK181" i="5"/>
  <c r="AK126" i="5"/>
  <c r="AK13" i="5"/>
  <c r="AS13" i="5" s="1"/>
  <c r="CY306" i="5" l="1"/>
  <c r="K17" i="38"/>
  <c r="BJ33" i="4"/>
  <c r="BM33" i="4" s="1"/>
  <c r="CY333" i="5"/>
  <c r="CS115" i="5"/>
  <c r="CV105" i="5"/>
  <c r="CV120" i="5"/>
  <c r="CY117" i="5"/>
  <c r="CY120" i="5" s="1"/>
  <c r="CV143" i="5"/>
  <c r="CY140" i="5"/>
  <c r="CY143" i="5" s="1"/>
  <c r="CV131" i="5"/>
  <c r="CY127" i="5"/>
  <c r="CY131" i="5" s="1"/>
  <c r="CY228" i="5"/>
  <c r="CY230" i="5" s="1"/>
  <c r="CV230" i="5"/>
  <c r="CV150" i="5"/>
  <c r="CY144" i="5"/>
  <c r="CY150" i="5" s="1"/>
  <c r="CY73" i="5"/>
  <c r="CY80" i="5" s="1"/>
  <c r="CV80" i="5"/>
  <c r="CY8" i="5"/>
  <c r="CV333" i="5"/>
  <c r="CY95" i="5"/>
  <c r="CY101" i="5" s="1"/>
  <c r="CV101" i="5"/>
  <c r="CS138" i="5"/>
  <c r="CV134" i="5"/>
  <c r="CS335" i="5"/>
  <c r="CV87" i="5"/>
  <c r="CY86" i="5"/>
  <c r="CY87" i="5" s="1"/>
  <c r="CY196" i="5"/>
  <c r="CY197" i="5" s="1"/>
  <c r="CV197" i="5"/>
  <c r="CY181" i="5"/>
  <c r="CY188" i="5" s="1"/>
  <c r="CV188" i="5"/>
  <c r="CV195" i="5"/>
  <c r="CY189" i="5"/>
  <c r="CY195" i="5" s="1"/>
  <c r="CV318" i="5"/>
  <c r="CY314" i="5"/>
  <c r="CY318" i="5" s="1"/>
  <c r="CY40" i="5"/>
  <c r="CY43" i="5" s="1"/>
  <c r="CV43" i="5"/>
  <c r="CN25" i="4"/>
  <c r="CN33" i="4" s="1"/>
  <c r="D8" i="53" s="1"/>
  <c r="D9" i="53" s="1"/>
  <c r="CK33" i="4"/>
  <c r="CK113" i="4" s="1"/>
  <c r="CK1" i="4" s="1"/>
  <c r="CH113" i="4"/>
  <c r="CH1" i="4" s="1"/>
  <c r="CP293" i="5"/>
  <c r="CS264" i="5"/>
  <c r="CS101" i="5"/>
  <c r="CM332" i="5"/>
  <c r="CM337" i="5" s="1"/>
  <c r="CM1" i="5"/>
  <c r="R7" i="38"/>
  <c r="D7" i="33"/>
  <c r="BM89" i="4"/>
  <c r="H17" i="37"/>
  <c r="D6" i="33"/>
  <c r="BM111" i="4"/>
  <c r="BM5" i="4"/>
  <c r="BJ115" i="4"/>
  <c r="BM115" i="4" s="1"/>
  <c r="BO262" i="5"/>
  <c r="BK105" i="5"/>
  <c r="BO105" i="5"/>
  <c r="BO71" i="5"/>
  <c r="BK71" i="5"/>
  <c r="BO203" i="5"/>
  <c r="BK203" i="5"/>
  <c r="BO94" i="5"/>
  <c r="BK94" i="5"/>
  <c r="BH199" i="5"/>
  <c r="BK198" i="5"/>
  <c r="BO198" i="5"/>
  <c r="BE162" i="5"/>
  <c r="BH152" i="5"/>
  <c r="BE230" i="5"/>
  <c r="BH226" i="5"/>
  <c r="BE329" i="5"/>
  <c r="BH319" i="5"/>
  <c r="BE68" i="5"/>
  <c r="BH56" i="5"/>
  <c r="BE260" i="5"/>
  <c r="BH231" i="5"/>
  <c r="BE195" i="5"/>
  <c r="BH189" i="5"/>
  <c r="H25" i="37"/>
  <c r="N17" i="37"/>
  <c r="N25" i="37"/>
  <c r="N17" i="38"/>
  <c r="AY313" i="5"/>
  <c r="BB307" i="5"/>
  <c r="AY54" i="5"/>
  <c r="BB45" i="5"/>
  <c r="AY8" i="5"/>
  <c r="BB5" i="5"/>
  <c r="AY306" i="5"/>
  <c r="BB303" i="5"/>
  <c r="AY139" i="5"/>
  <c r="BB136" i="5"/>
  <c r="AY138" i="5"/>
  <c r="AY116" i="5"/>
  <c r="BB109" i="5"/>
  <c r="AY115" i="5"/>
  <c r="AY294" i="5"/>
  <c r="BB282" i="5"/>
  <c r="AY293" i="5"/>
  <c r="AY224" i="5"/>
  <c r="BB211" i="5"/>
  <c r="AY223" i="5"/>
  <c r="AY102" i="5"/>
  <c r="BB97" i="5"/>
  <c r="AY101" i="5"/>
  <c r="AY187" i="5"/>
  <c r="BB177" i="5"/>
  <c r="AY186" i="5"/>
  <c r="AY318" i="5"/>
  <c r="BB314" i="5"/>
  <c r="K25" i="37"/>
  <c r="K17" i="37"/>
  <c r="AY87" i="5"/>
  <c r="BB86" i="5"/>
  <c r="BB299" i="5"/>
  <c r="AY302" i="5"/>
  <c r="AY81" i="5"/>
  <c r="BB78" i="5"/>
  <c r="AY80" i="5"/>
  <c r="AY43" i="5"/>
  <c r="BB40" i="5"/>
  <c r="BB32" i="5"/>
  <c r="AY37" i="5"/>
  <c r="BB26" i="5"/>
  <c r="AY31" i="5"/>
  <c r="BB225" i="5"/>
  <c r="BE218" i="5"/>
  <c r="K25" i="36"/>
  <c r="O6" i="38"/>
  <c r="O6" i="37"/>
  <c r="O7" i="37"/>
  <c r="O7" i="38"/>
  <c r="H25" i="36"/>
  <c r="H25" i="38"/>
  <c r="H17" i="38"/>
  <c r="O8" i="38"/>
  <c r="O8" i="37"/>
  <c r="AS24" i="5"/>
  <c r="AV13" i="5"/>
  <c r="AY13" i="5" s="1"/>
  <c r="AS23" i="5"/>
  <c r="AV20" i="5"/>
  <c r="AS25" i="5"/>
  <c r="H17" i="36"/>
  <c r="AK129" i="5"/>
  <c r="AK130" i="5"/>
  <c r="AS126" i="5"/>
  <c r="AK23" i="5"/>
  <c r="AK188" i="5"/>
  <c r="AS181" i="5"/>
  <c r="AK163" i="5"/>
  <c r="AS159" i="5"/>
  <c r="AN111" i="4"/>
  <c r="AP95" i="4"/>
  <c r="AO95" i="4"/>
  <c r="AP87" i="4"/>
  <c r="AO87" i="4"/>
  <c r="AP84" i="4"/>
  <c r="AP83" i="4"/>
  <c r="AO83" i="4"/>
  <c r="AP82" i="4"/>
  <c r="AP81" i="4"/>
  <c r="AO81" i="4"/>
  <c r="AP80" i="4"/>
  <c r="AO80" i="4"/>
  <c r="AP79" i="4"/>
  <c r="AO79" i="4"/>
  <c r="AP61" i="4"/>
  <c r="AO61" i="4"/>
  <c r="AP38" i="4"/>
  <c r="AO38" i="4"/>
  <c r="AP35" i="4"/>
  <c r="AO35" i="4"/>
  <c r="AP25" i="4"/>
  <c r="AO25" i="4"/>
  <c r="AO6" i="4"/>
  <c r="AP6" i="4"/>
  <c r="AO7" i="4"/>
  <c r="AP7" i="4"/>
  <c r="AO8" i="4"/>
  <c r="AP8" i="4"/>
  <c r="AO9" i="4"/>
  <c r="AP9" i="4"/>
  <c r="AO10" i="4"/>
  <c r="AP10" i="4"/>
  <c r="AP11" i="4"/>
  <c r="AO12" i="4"/>
  <c r="AP12" i="4"/>
  <c r="AO13" i="4"/>
  <c r="AP13" i="4"/>
  <c r="AO15" i="4"/>
  <c r="AP15" i="4"/>
  <c r="AO16" i="4"/>
  <c r="AP16" i="4"/>
  <c r="AO21" i="4"/>
  <c r="AP21" i="4"/>
  <c r="AP5" i="4"/>
  <c r="AO5" i="4"/>
  <c r="AH115" i="4"/>
  <c r="AN115" i="4"/>
  <c r="L115" i="4"/>
  <c r="D8" i="51" l="1"/>
  <c r="D9" i="51" s="1"/>
  <c r="D8" i="52"/>
  <c r="D9" i="52" s="1"/>
  <c r="R8" i="38"/>
  <c r="D8" i="48"/>
  <c r="D9" i="48" s="1"/>
  <c r="D8" i="50"/>
  <c r="D9" i="50" s="1"/>
  <c r="D8" i="49"/>
  <c r="D9" i="49" s="1"/>
  <c r="D8" i="45"/>
  <c r="D9" i="45" s="1"/>
  <c r="D8" i="47"/>
  <c r="D9" i="47" s="1"/>
  <c r="D8" i="46"/>
  <c r="D9" i="46" s="1"/>
  <c r="CN113" i="4"/>
  <c r="CN1" i="4" s="1"/>
  <c r="D8" i="14"/>
  <c r="D8" i="33" s="1"/>
  <c r="CY134" i="5"/>
  <c r="CY138" i="5" s="1"/>
  <c r="CV138" i="5"/>
  <c r="CY105" i="5"/>
  <c r="CY115" i="5" s="1"/>
  <c r="CV115" i="5"/>
  <c r="CY335" i="5"/>
  <c r="CS293" i="5"/>
  <c r="CS1" i="5" s="1"/>
  <c r="CV264" i="5"/>
  <c r="CV335" i="5"/>
  <c r="CP332" i="5"/>
  <c r="CP337" i="5" s="1"/>
  <c r="CP1" i="5"/>
  <c r="C6" i="33"/>
  <c r="AO115" i="4"/>
  <c r="BH260" i="5"/>
  <c r="BK231" i="5"/>
  <c r="BH162" i="5"/>
  <c r="BO152" i="5"/>
  <c r="BK152" i="5"/>
  <c r="BO199" i="5"/>
  <c r="BK199" i="5"/>
  <c r="BH329" i="5"/>
  <c r="BO319" i="5"/>
  <c r="BK319" i="5"/>
  <c r="BO189" i="5"/>
  <c r="BH195" i="5"/>
  <c r="BK189" i="5"/>
  <c r="BH68" i="5"/>
  <c r="BO56" i="5"/>
  <c r="BK56" i="5"/>
  <c r="BH230" i="5"/>
  <c r="BO226" i="5"/>
  <c r="BK226" i="5"/>
  <c r="BE225" i="5"/>
  <c r="BH218" i="5"/>
  <c r="BB37" i="5"/>
  <c r="BE32" i="5"/>
  <c r="BB81" i="5"/>
  <c r="BE78" i="5"/>
  <c r="BH78" i="5" s="1"/>
  <c r="BB80" i="5"/>
  <c r="BB87" i="5"/>
  <c r="BE86" i="5"/>
  <c r="BB318" i="5"/>
  <c r="BE314" i="5"/>
  <c r="BB294" i="5"/>
  <c r="BE282" i="5"/>
  <c r="BH282" i="5" s="1"/>
  <c r="BB293" i="5"/>
  <c r="BB306" i="5"/>
  <c r="BE303" i="5"/>
  <c r="BE45" i="5"/>
  <c r="BB54" i="5"/>
  <c r="AV25" i="5"/>
  <c r="AY20" i="5"/>
  <c r="BE299" i="5"/>
  <c r="BB302" i="5"/>
  <c r="BB187" i="5"/>
  <c r="BE177" i="5"/>
  <c r="BH177" i="5" s="1"/>
  <c r="BB186" i="5"/>
  <c r="BB116" i="5"/>
  <c r="BE109" i="5"/>
  <c r="BH109" i="5" s="1"/>
  <c r="BB115" i="5"/>
  <c r="BB31" i="5"/>
  <c r="BE26" i="5"/>
  <c r="BE97" i="5"/>
  <c r="BH97" i="5" s="1"/>
  <c r="BB102" i="5"/>
  <c r="BB101" i="5"/>
  <c r="BB139" i="5"/>
  <c r="BE136" i="5"/>
  <c r="BH136" i="5" s="1"/>
  <c r="BB138" i="5"/>
  <c r="BB8" i="5"/>
  <c r="BE5" i="5"/>
  <c r="BH5" i="5" s="1"/>
  <c r="BB313" i="5"/>
  <c r="BE307" i="5"/>
  <c r="AY23" i="5"/>
  <c r="BB13" i="5"/>
  <c r="AY24" i="5"/>
  <c r="BB43" i="5"/>
  <c r="BE40" i="5"/>
  <c r="BB224" i="5"/>
  <c r="BE211" i="5"/>
  <c r="BH211" i="5" s="1"/>
  <c r="BB223" i="5"/>
  <c r="F6" i="37"/>
  <c r="F6" i="38"/>
  <c r="F6" i="36"/>
  <c r="AS130" i="5"/>
  <c r="AS333" i="5" s="1"/>
  <c r="AV126" i="5"/>
  <c r="AY126" i="5" s="1"/>
  <c r="AS129" i="5"/>
  <c r="AS332" i="5" s="1"/>
  <c r="AV24" i="5"/>
  <c r="AV23" i="5"/>
  <c r="AS188" i="5"/>
  <c r="AV181" i="5"/>
  <c r="AS163" i="5"/>
  <c r="AV159" i="5"/>
  <c r="AP115" i="4"/>
  <c r="AP76" i="4"/>
  <c r="AP74" i="4"/>
  <c r="AP30" i="4"/>
  <c r="AP29" i="4"/>
  <c r="AP28" i="4"/>
  <c r="AP27" i="4"/>
  <c r="AP24" i="4"/>
  <c r="AH111" i="4"/>
  <c r="AH89" i="4"/>
  <c r="AQ35" i="4"/>
  <c r="D13" i="52" l="1"/>
  <c r="D13" i="53"/>
  <c r="D13" i="50"/>
  <c r="D13" i="51"/>
  <c r="D13" i="48"/>
  <c r="D13" i="49"/>
  <c r="D13" i="14"/>
  <c r="D13" i="47"/>
  <c r="D13" i="46"/>
  <c r="D13" i="45"/>
  <c r="CY264" i="5"/>
  <c r="CV293" i="5"/>
  <c r="CS332" i="5"/>
  <c r="BH187" i="5"/>
  <c r="BO177" i="5"/>
  <c r="BK177" i="5"/>
  <c r="BH186" i="5"/>
  <c r="BK162" i="5"/>
  <c r="BO162" i="5"/>
  <c r="BH294" i="5"/>
  <c r="BO282" i="5"/>
  <c r="BK282" i="5"/>
  <c r="BH293" i="5"/>
  <c r="BO78" i="5"/>
  <c r="BK78" i="5"/>
  <c r="BH80" i="5"/>
  <c r="BH225" i="5"/>
  <c r="BO218" i="5"/>
  <c r="BK230" i="5"/>
  <c r="BO230" i="5"/>
  <c r="BO260" i="5"/>
  <c r="BK260" i="5"/>
  <c r="BH224" i="5"/>
  <c r="BO211" i="5"/>
  <c r="BK211" i="5"/>
  <c r="BH223" i="5"/>
  <c r="BH139" i="5"/>
  <c r="BK136" i="5"/>
  <c r="BO136" i="5"/>
  <c r="BH138" i="5"/>
  <c r="BH102" i="5"/>
  <c r="BO97" i="5"/>
  <c r="BK97" i="5"/>
  <c r="BH101" i="5"/>
  <c r="BH116" i="5"/>
  <c r="BO109" i="5"/>
  <c r="BK109" i="5"/>
  <c r="BH115" i="5"/>
  <c r="BK68" i="5"/>
  <c r="BO68" i="5"/>
  <c r="BO195" i="5"/>
  <c r="BK195" i="5"/>
  <c r="BK329" i="5"/>
  <c r="BO329" i="5"/>
  <c r="BE8" i="5"/>
  <c r="BE31" i="5"/>
  <c r="BH26" i="5"/>
  <c r="BH81" i="5"/>
  <c r="BE318" i="5"/>
  <c r="BH314" i="5"/>
  <c r="BE313" i="5"/>
  <c r="BH307" i="5"/>
  <c r="BE306" i="5"/>
  <c r="BH303" i="5"/>
  <c r="BE37" i="5"/>
  <c r="BH32" i="5"/>
  <c r="BE43" i="5"/>
  <c r="BH40" i="5"/>
  <c r="BE302" i="5"/>
  <c r="BH299" i="5"/>
  <c r="BE54" i="5"/>
  <c r="BH45" i="5"/>
  <c r="BE87" i="5"/>
  <c r="BH86" i="5"/>
  <c r="I12" i="37"/>
  <c r="I12" i="38"/>
  <c r="BB23" i="5"/>
  <c r="BE13" i="5"/>
  <c r="BH13" i="5" s="1"/>
  <c r="BB24" i="5"/>
  <c r="BE81" i="5"/>
  <c r="BE80" i="5"/>
  <c r="BE224" i="5"/>
  <c r="BE223" i="5"/>
  <c r="BE139" i="5"/>
  <c r="BE138" i="5"/>
  <c r="BE102" i="5"/>
  <c r="BE101" i="5"/>
  <c r="BE116" i="5"/>
  <c r="BE115" i="5"/>
  <c r="I13" i="38"/>
  <c r="I13" i="37"/>
  <c r="BE187" i="5"/>
  <c r="BE186" i="5"/>
  <c r="BB20" i="5"/>
  <c r="AY25" i="5"/>
  <c r="AY130" i="5"/>
  <c r="AY333" i="5" s="1"/>
  <c r="BB126" i="5"/>
  <c r="AY129" i="5"/>
  <c r="AY332" i="5" s="1"/>
  <c r="BE294" i="5"/>
  <c r="BE293" i="5"/>
  <c r="D6" i="38"/>
  <c r="D6" i="36"/>
  <c r="D6" i="37"/>
  <c r="D7" i="38"/>
  <c r="D7" i="37"/>
  <c r="D7" i="36"/>
  <c r="AV163" i="5"/>
  <c r="AY159" i="5"/>
  <c r="AV188" i="5"/>
  <c r="AY181" i="5"/>
  <c r="I13" i="36"/>
  <c r="I12" i="36"/>
  <c r="AV130" i="5"/>
  <c r="AV333" i="5" s="1"/>
  <c r="AV129" i="5"/>
  <c r="AV332" i="5" s="1"/>
  <c r="AS335" i="5"/>
  <c r="AP111" i="4"/>
  <c r="AN14" i="4"/>
  <c r="CY293" i="5" l="1"/>
  <c r="CY332" i="5" s="1"/>
  <c r="D12" i="52" s="1"/>
  <c r="D14" i="52" s="1"/>
  <c r="D25" i="52" s="1"/>
  <c r="CY339" i="5"/>
  <c r="CY1" i="5"/>
  <c r="CS337" i="5"/>
  <c r="CV332" i="5"/>
  <c r="CV337" i="5" s="1"/>
  <c r="CV1" i="5"/>
  <c r="BA14" i="4"/>
  <c r="AP14" i="4"/>
  <c r="AO14" i="4"/>
  <c r="BH24" i="5"/>
  <c r="BO13" i="5"/>
  <c r="BK13" i="5"/>
  <c r="BH23" i="5"/>
  <c r="BH87" i="5"/>
  <c r="BO86" i="5"/>
  <c r="BK86" i="5"/>
  <c r="BH302" i="5"/>
  <c r="BO299" i="5"/>
  <c r="BK299" i="5"/>
  <c r="BH37" i="5"/>
  <c r="BK32" i="5"/>
  <c r="BO32" i="5"/>
  <c r="BH313" i="5"/>
  <c r="BK307" i="5"/>
  <c r="BO307" i="5"/>
  <c r="BK81" i="5"/>
  <c r="BO81" i="5"/>
  <c r="BK115" i="5"/>
  <c r="BO115" i="5"/>
  <c r="BK101" i="5"/>
  <c r="BO101" i="5"/>
  <c r="BK138" i="5"/>
  <c r="BO138" i="5"/>
  <c r="BK223" i="5"/>
  <c r="BO223" i="5"/>
  <c r="BK294" i="5"/>
  <c r="BO294" i="5"/>
  <c r="BH8" i="5"/>
  <c r="BK5" i="5"/>
  <c r="BO5" i="5"/>
  <c r="BK116" i="5"/>
  <c r="BO116" i="5"/>
  <c r="BK102" i="5"/>
  <c r="BO102" i="5"/>
  <c r="BO139" i="5"/>
  <c r="BK139" i="5"/>
  <c r="BO224" i="5"/>
  <c r="BK224" i="5"/>
  <c r="BO186" i="5"/>
  <c r="BK186" i="5"/>
  <c r="BH54" i="5"/>
  <c r="BO45" i="5"/>
  <c r="BK45" i="5"/>
  <c r="BH43" i="5"/>
  <c r="BK40" i="5"/>
  <c r="BO40" i="5"/>
  <c r="BH306" i="5"/>
  <c r="BO303" i="5"/>
  <c r="BK303" i="5"/>
  <c r="BH318" i="5"/>
  <c r="BO314" i="5"/>
  <c r="BK314" i="5"/>
  <c r="BK80" i="5"/>
  <c r="BO80" i="5"/>
  <c r="BO187" i="5"/>
  <c r="BK187" i="5"/>
  <c r="BH31" i="5"/>
  <c r="BO26" i="5"/>
  <c r="BK225" i="5"/>
  <c r="BO225" i="5"/>
  <c r="BO293" i="5"/>
  <c r="BK293" i="5"/>
  <c r="AV335" i="5"/>
  <c r="L14" i="37" s="1"/>
  <c r="L12" i="36"/>
  <c r="L12" i="37"/>
  <c r="L12" i="38"/>
  <c r="L13" i="36"/>
  <c r="L13" i="37"/>
  <c r="L13" i="38"/>
  <c r="I14" i="37"/>
  <c r="I15" i="37" s="1"/>
  <c r="I14" i="38"/>
  <c r="I15" i="38" s="1"/>
  <c r="O12" i="38"/>
  <c r="O12" i="37"/>
  <c r="BE20" i="5"/>
  <c r="BB25" i="5"/>
  <c r="BB130" i="5"/>
  <c r="BB333" i="5" s="1"/>
  <c r="BE126" i="5"/>
  <c r="BH126" i="5" s="1"/>
  <c r="BB129" i="5"/>
  <c r="BB332" i="5" s="1"/>
  <c r="O13" i="37"/>
  <c r="O13" i="38"/>
  <c r="BE23" i="5"/>
  <c r="BE24" i="5"/>
  <c r="AY163" i="5"/>
  <c r="BB159" i="5"/>
  <c r="AY188" i="5"/>
  <c r="BB181" i="5"/>
  <c r="I14" i="36"/>
  <c r="I15" i="36" s="1"/>
  <c r="AS337" i="5"/>
  <c r="AS1" i="5" s="1"/>
  <c r="AL295" i="5"/>
  <c r="AK116" i="5"/>
  <c r="AK115" i="5"/>
  <c r="AK102" i="5"/>
  <c r="AK101" i="5"/>
  <c r="AK87" i="5"/>
  <c r="AK81" i="5"/>
  <c r="AK80" i="5"/>
  <c r="AK68" i="5"/>
  <c r="AK54" i="5"/>
  <c r="AK43" i="5"/>
  <c r="AK37" i="5"/>
  <c r="AK31" i="5"/>
  <c r="AK25" i="5"/>
  <c r="AK335" i="5" s="1"/>
  <c r="AK24" i="5"/>
  <c r="AK8" i="5"/>
  <c r="AN89" i="4"/>
  <c r="AN33" i="4"/>
  <c r="AN22" i="4"/>
  <c r="D12" i="14" l="1"/>
  <c r="CY337" i="5"/>
  <c r="D12" i="45"/>
  <c r="D14" i="45" s="1"/>
  <c r="D25" i="45" s="1"/>
  <c r="D12" i="46"/>
  <c r="D14" i="46" s="1"/>
  <c r="D25" i="46" s="1"/>
  <c r="D12" i="47"/>
  <c r="D14" i="47" s="1"/>
  <c r="D16" i="47" s="1"/>
  <c r="D12" i="49"/>
  <c r="D14" i="49" s="1"/>
  <c r="D25" i="49" s="1"/>
  <c r="D12" i="48"/>
  <c r="D14" i="48" s="1"/>
  <c r="D25" i="48" s="1"/>
  <c r="D12" i="51"/>
  <c r="D14" i="51" s="1"/>
  <c r="D16" i="51" s="1"/>
  <c r="D12" i="50"/>
  <c r="D14" i="50" s="1"/>
  <c r="D25" i="50" s="1"/>
  <c r="D12" i="53"/>
  <c r="D14" i="53" s="1"/>
  <c r="D25" i="53" s="1"/>
  <c r="D16" i="52"/>
  <c r="C7" i="33"/>
  <c r="G7" i="33" s="1"/>
  <c r="C8" i="33"/>
  <c r="BD14" i="4"/>
  <c r="BA22" i="4"/>
  <c r="C5" i="33"/>
  <c r="F14" i="38"/>
  <c r="C14" i="33"/>
  <c r="BK43" i="5"/>
  <c r="BO43" i="5"/>
  <c r="BK8" i="5"/>
  <c r="BO8" i="5"/>
  <c r="BO87" i="5"/>
  <c r="BK87" i="5"/>
  <c r="BK24" i="5"/>
  <c r="BO24" i="5"/>
  <c r="BO31" i="5"/>
  <c r="BK31" i="5"/>
  <c r="BO54" i="5"/>
  <c r="BK54" i="5"/>
  <c r="BK313" i="5"/>
  <c r="BO313" i="5"/>
  <c r="BK126" i="5"/>
  <c r="BO126" i="5"/>
  <c r="BH129" i="5"/>
  <c r="BH332" i="5" s="1"/>
  <c r="BO318" i="5"/>
  <c r="BK318" i="5"/>
  <c r="BK37" i="5"/>
  <c r="BO37" i="5"/>
  <c r="BO306" i="5"/>
  <c r="BK306" i="5"/>
  <c r="BO302" i="5"/>
  <c r="BK302" i="5"/>
  <c r="BK23" i="5"/>
  <c r="BO23" i="5"/>
  <c r="BH130" i="5"/>
  <c r="BH333" i="5" s="1"/>
  <c r="BE25" i="5"/>
  <c r="BH20" i="5"/>
  <c r="L14" i="36"/>
  <c r="L15" i="36" s="1"/>
  <c r="L14" i="38"/>
  <c r="L15" i="38" s="1"/>
  <c r="AV337" i="5"/>
  <c r="AV1" i="5" s="1"/>
  <c r="L15" i="37"/>
  <c r="AY335" i="5"/>
  <c r="O14" i="38" s="1"/>
  <c r="O15" i="38" s="1"/>
  <c r="BE130" i="5"/>
  <c r="BE333" i="5" s="1"/>
  <c r="R13" i="38" s="1"/>
  <c r="BE129" i="5"/>
  <c r="BE332" i="5" s="1"/>
  <c r="R12" i="38" s="1"/>
  <c r="BB188" i="5"/>
  <c r="BE181" i="5"/>
  <c r="BB163" i="5"/>
  <c r="BE159" i="5"/>
  <c r="F7" i="37"/>
  <c r="F7" i="36"/>
  <c r="F7" i="38"/>
  <c r="AP89" i="4"/>
  <c r="F8" i="37"/>
  <c r="F8" i="38"/>
  <c r="F8" i="36"/>
  <c r="F5" i="37"/>
  <c r="F5" i="38"/>
  <c r="F5" i="36"/>
  <c r="F14" i="36"/>
  <c r="F14" i="37"/>
  <c r="AK333" i="5"/>
  <c r="AK332" i="5"/>
  <c r="AL195" i="5"/>
  <c r="AN113" i="4"/>
  <c r="AI216" i="5"/>
  <c r="AI220" i="5"/>
  <c r="AI215" i="5"/>
  <c r="AH150" i="5"/>
  <c r="AN150" i="5" s="1"/>
  <c r="AH120" i="5"/>
  <c r="AN120" i="5" s="1"/>
  <c r="AI325" i="5"/>
  <c r="AI324" i="5"/>
  <c r="AI319" i="5"/>
  <c r="AI315" i="5"/>
  <c r="AI314" i="5"/>
  <c r="AI307" i="5"/>
  <c r="AH306" i="5"/>
  <c r="AH302" i="5"/>
  <c r="AH295" i="5"/>
  <c r="AN295" i="5" s="1"/>
  <c r="AI288" i="5"/>
  <c r="AI289" i="5"/>
  <c r="AI291" i="5"/>
  <c r="AI287" i="5"/>
  <c r="AI282" i="5"/>
  <c r="AI283" i="5"/>
  <c r="AI284" i="5"/>
  <c r="AI285" i="5"/>
  <c r="AI279" i="5"/>
  <c r="AI280" i="5"/>
  <c r="AI281" i="5"/>
  <c r="AC279" i="5"/>
  <c r="AB279" i="5"/>
  <c r="U279" i="5"/>
  <c r="T279" i="5"/>
  <c r="N279" i="5"/>
  <c r="M279" i="5"/>
  <c r="AI263" i="5"/>
  <c r="AI264" i="5"/>
  <c r="AI265" i="5"/>
  <c r="AI267" i="5"/>
  <c r="AI269" i="5"/>
  <c r="AI270" i="5"/>
  <c r="AI271" i="5"/>
  <c r="AI273" i="5"/>
  <c r="AI274" i="5"/>
  <c r="AI275" i="5"/>
  <c r="AI276" i="5"/>
  <c r="AI277" i="5"/>
  <c r="AI278" i="5"/>
  <c r="AI242" i="5"/>
  <c r="AI243" i="5"/>
  <c r="AI244" i="5"/>
  <c r="AI245" i="5"/>
  <c r="AI246" i="5"/>
  <c r="AI241" i="5"/>
  <c r="AI240" i="5"/>
  <c r="AI227" i="5"/>
  <c r="AI228" i="5"/>
  <c r="AI226" i="5"/>
  <c r="AI201" i="5"/>
  <c r="AI203" i="5"/>
  <c r="AI204" i="5"/>
  <c r="AI205" i="5"/>
  <c r="AI206" i="5"/>
  <c r="AI207" i="5"/>
  <c r="AI208" i="5"/>
  <c r="AI210" i="5"/>
  <c r="AH224" i="5"/>
  <c r="AN224" i="5" s="1"/>
  <c r="AI213" i="5"/>
  <c r="AI192" i="5"/>
  <c r="AI190" i="5"/>
  <c r="AI165" i="5"/>
  <c r="AI166" i="5"/>
  <c r="AI167" i="5"/>
  <c r="AI168" i="5"/>
  <c r="AI169" i="5"/>
  <c r="AI170" i="5"/>
  <c r="AI171" i="5"/>
  <c r="AI172" i="5"/>
  <c r="AI174" i="5"/>
  <c r="AI175" i="5"/>
  <c r="AI176" i="5"/>
  <c r="AH187" i="5"/>
  <c r="AN187" i="5" s="1"/>
  <c r="AI178" i="5"/>
  <c r="AI180" i="5"/>
  <c r="AH188" i="5"/>
  <c r="AN188" i="5" s="1"/>
  <c r="AH163" i="5"/>
  <c r="AN163" i="5" s="1"/>
  <c r="AI158" i="5"/>
  <c r="AI155" i="5"/>
  <c r="AI152" i="5"/>
  <c r="AH151" i="5"/>
  <c r="AN151" i="5" s="1"/>
  <c r="AI135" i="5"/>
  <c r="AI136" i="5"/>
  <c r="AI134" i="5"/>
  <c r="AH131" i="5"/>
  <c r="AI126" i="5"/>
  <c r="AI123" i="5"/>
  <c r="AI122" i="5"/>
  <c r="AH121" i="5"/>
  <c r="AI105" i="5"/>
  <c r="AI106" i="5"/>
  <c r="AI107" i="5"/>
  <c r="AH116" i="5"/>
  <c r="AI110" i="5"/>
  <c r="AI111" i="5"/>
  <c r="AI112" i="5"/>
  <c r="AH102" i="5"/>
  <c r="AI94" i="5"/>
  <c r="AI95" i="5"/>
  <c r="AI93" i="5"/>
  <c r="AI86" i="5"/>
  <c r="AI61" i="5"/>
  <c r="AI62" i="5"/>
  <c r="AI64" i="5"/>
  <c r="AI56" i="5"/>
  <c r="AI78" i="5"/>
  <c r="AI76" i="5"/>
  <c r="AI72" i="5"/>
  <c r="AI73" i="5"/>
  <c r="AI74" i="5"/>
  <c r="AI75" i="5"/>
  <c r="AI71" i="5"/>
  <c r="AH54" i="5"/>
  <c r="AI40" i="5"/>
  <c r="AH37" i="5"/>
  <c r="AH31" i="5"/>
  <c r="AN31" i="5" s="1"/>
  <c r="AI20" i="5"/>
  <c r="AI19" i="5"/>
  <c r="AI14" i="5"/>
  <c r="AI13" i="5"/>
  <c r="AE8" i="5"/>
  <c r="AM8" i="5" s="1"/>
  <c r="AI5" i="5"/>
  <c r="AQ95" i="4"/>
  <c r="AQ80" i="4"/>
  <c r="AQ81" i="4"/>
  <c r="AQ82" i="4"/>
  <c r="AQ83" i="4"/>
  <c r="AQ84" i="4"/>
  <c r="AQ87" i="4"/>
  <c r="AQ79" i="4"/>
  <c r="AQ74" i="4"/>
  <c r="AQ61" i="4"/>
  <c r="AQ38" i="4"/>
  <c r="AQ18" i="4"/>
  <c r="AQ25" i="4"/>
  <c r="AQ27" i="4"/>
  <c r="AQ28" i="4"/>
  <c r="AQ29" i="4"/>
  <c r="AQ30" i="4"/>
  <c r="AQ24" i="4"/>
  <c r="AQ21" i="4"/>
  <c r="AQ6" i="4"/>
  <c r="AQ7" i="4"/>
  <c r="AQ8" i="4"/>
  <c r="AQ9" i="4"/>
  <c r="AQ10" i="4"/>
  <c r="AQ11" i="4"/>
  <c r="AQ14" i="4"/>
  <c r="AQ12" i="4"/>
  <c r="AQ13" i="4"/>
  <c r="AQ15" i="4"/>
  <c r="AQ16" i="4"/>
  <c r="AJ74" i="4"/>
  <c r="AH33" i="4"/>
  <c r="AP33" i="4" s="1"/>
  <c r="AH22" i="4"/>
  <c r="AJ21" i="4"/>
  <c r="AJ16" i="4"/>
  <c r="AJ15" i="4"/>
  <c r="AJ11" i="4"/>
  <c r="AJ10" i="4"/>
  <c r="AJ9" i="4"/>
  <c r="AJ8" i="4"/>
  <c r="AJ7" i="4"/>
  <c r="AJ6" i="4"/>
  <c r="AJ5" i="4"/>
  <c r="AF267" i="5"/>
  <c r="AF192" i="5"/>
  <c r="AE195" i="5"/>
  <c r="AM195" i="5" s="1"/>
  <c r="AF178" i="5"/>
  <c r="AF62" i="5"/>
  <c r="AF74" i="4"/>
  <c r="AF74" i="5"/>
  <c r="AF78" i="5"/>
  <c r="AF94" i="5"/>
  <c r="AF97" i="5"/>
  <c r="AF105" i="5"/>
  <c r="AF136" i="5"/>
  <c r="AF175" i="5"/>
  <c r="AF205" i="5"/>
  <c r="AF211" i="5"/>
  <c r="AF227" i="5"/>
  <c r="AF263" i="5"/>
  <c r="AF264" i="5"/>
  <c r="AF269" i="5"/>
  <c r="AF273" i="5"/>
  <c r="AF274" i="5"/>
  <c r="AF276" i="5"/>
  <c r="AF299" i="5"/>
  <c r="AF315" i="5"/>
  <c r="AE329" i="5"/>
  <c r="AM329" i="5" s="1"/>
  <c r="AE318" i="5"/>
  <c r="AM318" i="5" s="1"/>
  <c r="AE313" i="5"/>
  <c r="AM313" i="5" s="1"/>
  <c r="AE306" i="5"/>
  <c r="AM306" i="5" s="1"/>
  <c r="AE302" i="5"/>
  <c r="AM302" i="5" s="1"/>
  <c r="AE295" i="5"/>
  <c r="AM295" i="5" s="1"/>
  <c r="AE294" i="5"/>
  <c r="AM294" i="5" s="1"/>
  <c r="AE293" i="5"/>
  <c r="AM293" i="5" s="1"/>
  <c r="AE260" i="5"/>
  <c r="AM260" i="5" s="1"/>
  <c r="AE230" i="5"/>
  <c r="AM230" i="5" s="1"/>
  <c r="AE225" i="5"/>
  <c r="AM225" i="5" s="1"/>
  <c r="AE224" i="5"/>
  <c r="AM224" i="5" s="1"/>
  <c r="AE223" i="5"/>
  <c r="AM223" i="5" s="1"/>
  <c r="AE188" i="5"/>
  <c r="AM188" i="5" s="1"/>
  <c r="AE187" i="5"/>
  <c r="AM187" i="5" s="1"/>
  <c r="AE186" i="5"/>
  <c r="AM186" i="5" s="1"/>
  <c r="AE163" i="5"/>
  <c r="AM163" i="5" s="1"/>
  <c r="AE162" i="5"/>
  <c r="AM162" i="5" s="1"/>
  <c r="AE151" i="5"/>
  <c r="AM151" i="5" s="1"/>
  <c r="AE150" i="5"/>
  <c r="AM150" i="5" s="1"/>
  <c r="AE139" i="5"/>
  <c r="AM139" i="5" s="1"/>
  <c r="AE138" i="5"/>
  <c r="AM138" i="5" s="1"/>
  <c r="AE131" i="5"/>
  <c r="AM131" i="5" s="1"/>
  <c r="AE130" i="5"/>
  <c r="AM130" i="5" s="1"/>
  <c r="AE129" i="5"/>
  <c r="AM129" i="5" s="1"/>
  <c r="AE121" i="5"/>
  <c r="AM121" i="5" s="1"/>
  <c r="AE120" i="5"/>
  <c r="AM120" i="5" s="1"/>
  <c r="AE116" i="5"/>
  <c r="AM116" i="5" s="1"/>
  <c r="AE115" i="5"/>
  <c r="AM115" i="5" s="1"/>
  <c r="AE102" i="5"/>
  <c r="AM102" i="5" s="1"/>
  <c r="AE101" i="5"/>
  <c r="AM101" i="5" s="1"/>
  <c r="AE87" i="5"/>
  <c r="AM87" i="5" s="1"/>
  <c r="AE81" i="5"/>
  <c r="AM81" i="5" s="1"/>
  <c r="AE80" i="5"/>
  <c r="AM80" i="5" s="1"/>
  <c r="AE68" i="5"/>
  <c r="AM68" i="5" s="1"/>
  <c r="AE54" i="5"/>
  <c r="AM54" i="5" s="1"/>
  <c r="AE43" i="5"/>
  <c r="AM43" i="5" s="1"/>
  <c r="AE37" i="5"/>
  <c r="AM37" i="5" s="1"/>
  <c r="AE31" i="5"/>
  <c r="AM31" i="5" s="1"/>
  <c r="AE25" i="5"/>
  <c r="AM25" i="5" s="1"/>
  <c r="AE24" i="5"/>
  <c r="AM24" i="5" s="1"/>
  <c r="AE23" i="5"/>
  <c r="AM23" i="5" s="1"/>
  <c r="AF6" i="4"/>
  <c r="AF7" i="4"/>
  <c r="AF8" i="4"/>
  <c r="AF9" i="4"/>
  <c r="AF10" i="4"/>
  <c r="AF11" i="4"/>
  <c r="AF15" i="4"/>
  <c r="AF16" i="4"/>
  <c r="AF21" i="4"/>
  <c r="AF5" i="4"/>
  <c r="AD111" i="4"/>
  <c r="AD89" i="4"/>
  <c r="AD33" i="4"/>
  <c r="AD22" i="4"/>
  <c r="AB325" i="5"/>
  <c r="AB324" i="5"/>
  <c r="AB319" i="5"/>
  <c r="AB314" i="5"/>
  <c r="Y313" i="5"/>
  <c r="AA313" i="5"/>
  <c r="AA306" i="5"/>
  <c r="AA302" i="5"/>
  <c r="AA293" i="5"/>
  <c r="Y293" i="5"/>
  <c r="AA260" i="5"/>
  <c r="Y260" i="5"/>
  <c r="AA230" i="5"/>
  <c r="Y230" i="5"/>
  <c r="AA223" i="5"/>
  <c r="AA195" i="5"/>
  <c r="Y186" i="5"/>
  <c r="AA186" i="5"/>
  <c r="AA162" i="5"/>
  <c r="Y162" i="5"/>
  <c r="AA150" i="5"/>
  <c r="AA138" i="5"/>
  <c r="Y138" i="5"/>
  <c r="AA129" i="5"/>
  <c r="AC127" i="5"/>
  <c r="AB127" i="5"/>
  <c r="AB126" i="5"/>
  <c r="AA130" i="5"/>
  <c r="Y129" i="5"/>
  <c r="AA121" i="5"/>
  <c r="AA120" i="5"/>
  <c r="Y120" i="5"/>
  <c r="AA115" i="5"/>
  <c r="Y115" i="5"/>
  <c r="AA101" i="5"/>
  <c r="Y101" i="5"/>
  <c r="AA87" i="5"/>
  <c r="AA68" i="5"/>
  <c r="Y68" i="5"/>
  <c r="AA54" i="5"/>
  <c r="AA43" i="5"/>
  <c r="AA37" i="5"/>
  <c r="AA31" i="5"/>
  <c r="AA23" i="5"/>
  <c r="Y23" i="5"/>
  <c r="Y24" i="5"/>
  <c r="Y25" i="5"/>
  <c r="Y102" i="5"/>
  <c r="AA8" i="5"/>
  <c r="D16" i="53" l="1"/>
  <c r="D25" i="47"/>
  <c r="D16" i="46"/>
  <c r="D16" i="45"/>
  <c r="D16" i="49"/>
  <c r="D16" i="50"/>
  <c r="D16" i="48"/>
  <c r="D25" i="51"/>
  <c r="BG14" i="4"/>
  <c r="BD22" i="4"/>
  <c r="I5" i="37"/>
  <c r="I9" i="37" s="1"/>
  <c r="I5" i="38"/>
  <c r="I9" i="38" s="1"/>
  <c r="I5" i="36"/>
  <c r="I9" i="36" s="1"/>
  <c r="BA113" i="4"/>
  <c r="BA1" i="4" s="1"/>
  <c r="C13" i="33"/>
  <c r="C12" i="33"/>
  <c r="D13" i="33"/>
  <c r="BO333" i="5"/>
  <c r="BK333" i="5"/>
  <c r="BO20" i="5"/>
  <c r="BH25" i="5"/>
  <c r="BO130" i="5"/>
  <c r="BK130" i="5"/>
  <c r="D12" i="33"/>
  <c r="BO332" i="5"/>
  <c r="BK332" i="5"/>
  <c r="BK129" i="5"/>
  <c r="BO129" i="5"/>
  <c r="BE163" i="5"/>
  <c r="BH159" i="5"/>
  <c r="BE188" i="5"/>
  <c r="BH181" i="5"/>
  <c r="AY337" i="5"/>
  <c r="AY1" i="5" s="1"/>
  <c r="O14" i="37"/>
  <c r="O15" i="37" s="1"/>
  <c r="AL89" i="4"/>
  <c r="AQ76" i="4"/>
  <c r="AQ5" i="4"/>
  <c r="AL115" i="4"/>
  <c r="AQ115" i="4" s="1"/>
  <c r="AL111" i="4"/>
  <c r="E6" i="36" s="1"/>
  <c r="F9" i="36"/>
  <c r="BB335" i="5"/>
  <c r="BB337" i="5" s="1"/>
  <c r="BB1" i="5" s="1"/>
  <c r="F12" i="37"/>
  <c r="F15" i="37" s="1"/>
  <c r="F12" i="38"/>
  <c r="F15" i="38" s="1"/>
  <c r="F13" i="37"/>
  <c r="F13" i="38"/>
  <c r="AD113" i="4"/>
  <c r="D8" i="38"/>
  <c r="D8" i="37"/>
  <c r="D8" i="36"/>
  <c r="D5" i="38"/>
  <c r="D5" i="37"/>
  <c r="D5" i="36"/>
  <c r="H6" i="33"/>
  <c r="F9" i="33"/>
  <c r="F9" i="37"/>
  <c r="AP22" i="4"/>
  <c r="F9" i="38"/>
  <c r="F12" i="36"/>
  <c r="F15" i="36" s="1"/>
  <c r="F13" i="36"/>
  <c r="AI200" i="5"/>
  <c r="AH223" i="5"/>
  <c r="F15" i="33"/>
  <c r="AF341" i="5"/>
  <c r="AI295" i="5"/>
  <c r="AI120" i="5"/>
  <c r="AH195" i="5"/>
  <c r="AN195" i="5" s="1"/>
  <c r="AH293" i="5"/>
  <c r="AI293" i="5" s="1"/>
  <c r="AH23" i="5"/>
  <c r="AN23" i="5" s="1"/>
  <c r="AH80" i="5"/>
  <c r="AN80" i="5" s="1"/>
  <c r="AH294" i="5"/>
  <c r="AH139" i="5"/>
  <c r="AN139" i="5" s="1"/>
  <c r="AH138" i="5"/>
  <c r="AN138" i="5" s="1"/>
  <c r="AI45" i="5"/>
  <c r="AI109" i="5"/>
  <c r="AI303" i="5"/>
  <c r="AH25" i="5"/>
  <c r="AN25" i="5" s="1"/>
  <c r="AI32" i="5"/>
  <c r="AI188" i="5"/>
  <c r="AH318" i="5"/>
  <c r="AN318" i="5" s="1"/>
  <c r="AI132" i="5"/>
  <c r="AN121" i="5"/>
  <c r="AI121" i="5"/>
  <c r="AN116" i="5"/>
  <c r="AI116" i="5"/>
  <c r="AN102" i="5"/>
  <c r="AI102" i="5"/>
  <c r="AN54" i="5"/>
  <c r="AI54" i="5"/>
  <c r="AN306" i="5"/>
  <c r="AI306" i="5"/>
  <c r="AN131" i="5"/>
  <c r="AI131" i="5"/>
  <c r="AN302" i="5"/>
  <c r="AI302" i="5"/>
  <c r="AN37" i="5"/>
  <c r="AI37" i="5"/>
  <c r="AH68" i="5"/>
  <c r="AH162" i="5"/>
  <c r="AH313" i="5"/>
  <c r="AH329" i="5"/>
  <c r="AH24" i="5"/>
  <c r="AH87" i="5"/>
  <c r="AH130" i="5"/>
  <c r="AI31" i="5"/>
  <c r="AI70" i="5"/>
  <c r="AI187" i="5"/>
  <c r="AI127" i="5"/>
  <c r="AI224" i="5"/>
  <c r="AH186" i="5"/>
  <c r="AH43" i="5"/>
  <c r="AH81" i="5"/>
  <c r="AH115" i="5"/>
  <c r="AH129" i="5"/>
  <c r="AH230" i="5"/>
  <c r="AI26" i="5"/>
  <c r="AI97" i="5"/>
  <c r="AI118" i="5"/>
  <c r="AI164" i="5"/>
  <c r="AI177" i="5"/>
  <c r="AI191" i="5"/>
  <c r="AI211" i="5"/>
  <c r="AI261" i="5"/>
  <c r="AI299" i="5"/>
  <c r="AH101" i="5"/>
  <c r="AH8" i="5"/>
  <c r="AI181" i="5"/>
  <c r="AK337" i="5"/>
  <c r="AH225" i="5"/>
  <c r="AL33" i="4"/>
  <c r="AL22" i="4"/>
  <c r="AJ114" i="4"/>
  <c r="AH113" i="4"/>
  <c r="AF114" i="4"/>
  <c r="AE335" i="5"/>
  <c r="AE333" i="5"/>
  <c r="AE332" i="5"/>
  <c r="AB307" i="5"/>
  <c r="AB313" i="5" s="1"/>
  <c r="AB303" i="5"/>
  <c r="AB306" i="5" s="1"/>
  <c r="AB299" i="5"/>
  <c r="AB302" i="5" s="1"/>
  <c r="AB292" i="5"/>
  <c r="AB295" i="5" s="1"/>
  <c r="AB291" i="5"/>
  <c r="AB289" i="5"/>
  <c r="AB288" i="5"/>
  <c r="AB287" i="5"/>
  <c r="AB286" i="5"/>
  <c r="AB285" i="5"/>
  <c r="AB284" i="5"/>
  <c r="AB283" i="5"/>
  <c r="AB282" i="5"/>
  <c r="AB294" i="5" s="1"/>
  <c r="AB281" i="5"/>
  <c r="AB280" i="5"/>
  <c r="AB278" i="5"/>
  <c r="AB277" i="5"/>
  <c r="AB276" i="5"/>
  <c r="AB275" i="5"/>
  <c r="AB274" i="5"/>
  <c r="AB273" i="5"/>
  <c r="AB271" i="5"/>
  <c r="AB270" i="5"/>
  <c r="AB269" i="5"/>
  <c r="AB268" i="5"/>
  <c r="AB266" i="5"/>
  <c r="AB265" i="5"/>
  <c r="AB264" i="5"/>
  <c r="AB263" i="5"/>
  <c r="AB262" i="5"/>
  <c r="AB261" i="5"/>
  <c r="AB246" i="5"/>
  <c r="AB245" i="5"/>
  <c r="AB244" i="5"/>
  <c r="AB243" i="5"/>
  <c r="AB242" i="5"/>
  <c r="AB241" i="5"/>
  <c r="AB240" i="5"/>
  <c r="AB228" i="5"/>
  <c r="AB227" i="5"/>
  <c r="AB226" i="5"/>
  <c r="AB220" i="5"/>
  <c r="AB218" i="5"/>
  <c r="AB216" i="5"/>
  <c r="AB215" i="5"/>
  <c r="AB214" i="5"/>
  <c r="AB213" i="5"/>
  <c r="AB212" i="5"/>
  <c r="AB211" i="5"/>
  <c r="AB224" i="5" s="1"/>
  <c r="AB210" i="5"/>
  <c r="AB209" i="5"/>
  <c r="AB208" i="5"/>
  <c r="AB207" i="5"/>
  <c r="AB206" i="5"/>
  <c r="AB205" i="5"/>
  <c r="AB204" i="5"/>
  <c r="AB201" i="5"/>
  <c r="AB200" i="5"/>
  <c r="AB191" i="5"/>
  <c r="AB190" i="5"/>
  <c r="AB189" i="5"/>
  <c r="AB181" i="5"/>
  <c r="AB188" i="5" s="1"/>
  <c r="AB180" i="5"/>
  <c r="AB177" i="5"/>
  <c r="AB187" i="5" s="1"/>
  <c r="AB176" i="5"/>
  <c r="AB175" i="5"/>
  <c r="AB174" i="5"/>
  <c r="AB172" i="5"/>
  <c r="AB171" i="5"/>
  <c r="AB170" i="5"/>
  <c r="AB169" i="5"/>
  <c r="AB168" i="5"/>
  <c r="AB167" i="5"/>
  <c r="AB166" i="5"/>
  <c r="AB165" i="5"/>
  <c r="AB164" i="5"/>
  <c r="AB159" i="5"/>
  <c r="AB163" i="5" s="1"/>
  <c r="AB158" i="5"/>
  <c r="AB155" i="5"/>
  <c r="AB152" i="5"/>
  <c r="AB136" i="5"/>
  <c r="AB139" i="5" s="1"/>
  <c r="AB135" i="5"/>
  <c r="AB134" i="5"/>
  <c r="AB133" i="5"/>
  <c r="AB132" i="5"/>
  <c r="AB123" i="5"/>
  <c r="AB122" i="5"/>
  <c r="AB118" i="5"/>
  <c r="AB121" i="5" s="1"/>
  <c r="AB112" i="5"/>
  <c r="AB111" i="5"/>
  <c r="AB110" i="5"/>
  <c r="AB109" i="5"/>
  <c r="AB116" i="5" s="1"/>
  <c r="AB108" i="5"/>
  <c r="AB107" i="5"/>
  <c r="AB106" i="5"/>
  <c r="AB105" i="5"/>
  <c r="AB104" i="5"/>
  <c r="AB97" i="5"/>
  <c r="AB102" i="5" s="1"/>
  <c r="AB95" i="5"/>
  <c r="AB94" i="5"/>
  <c r="AB93" i="5"/>
  <c r="AB86" i="5"/>
  <c r="AB87" i="5" s="1"/>
  <c r="AB79" i="5"/>
  <c r="AB78" i="5"/>
  <c r="AB81" i="5" s="1"/>
  <c r="AB77" i="5"/>
  <c r="AB75" i="5"/>
  <c r="AB74" i="5"/>
  <c r="AB73" i="5"/>
  <c r="AB72" i="5"/>
  <c r="AB71" i="5"/>
  <c r="AB70" i="5"/>
  <c r="AB64" i="5"/>
  <c r="AB62" i="5"/>
  <c r="AB61" i="5"/>
  <c r="AB60" i="5"/>
  <c r="AB59" i="5"/>
  <c r="AB56" i="5"/>
  <c r="AB45" i="5"/>
  <c r="AB54" i="5" s="1"/>
  <c r="AB40" i="5"/>
  <c r="AB43" i="5" s="1"/>
  <c r="AB32" i="5"/>
  <c r="AB37" i="5" s="1"/>
  <c r="AB26" i="5"/>
  <c r="AB31" i="5" s="1"/>
  <c r="AB20" i="5"/>
  <c r="AB19" i="5"/>
  <c r="AB18" i="5"/>
  <c r="AB17" i="5"/>
  <c r="AB14" i="5"/>
  <c r="AB13" i="5"/>
  <c r="AB5" i="5"/>
  <c r="AB8" i="5" s="1"/>
  <c r="AB329" i="5"/>
  <c r="AB318" i="5"/>
  <c r="AB151" i="5"/>
  <c r="AB150" i="5"/>
  <c r="AB131" i="5"/>
  <c r="AB130" i="5"/>
  <c r="AB120" i="5"/>
  <c r="AC220" i="5"/>
  <c r="AC189" i="5"/>
  <c r="AC175" i="5"/>
  <c r="AC133" i="5"/>
  <c r="AC104" i="5"/>
  <c r="AB95" i="4"/>
  <c r="AB87" i="4"/>
  <c r="AB84" i="4"/>
  <c r="AB83" i="4"/>
  <c r="AB82" i="4"/>
  <c r="AB81" i="4"/>
  <c r="AB80" i="4"/>
  <c r="AB79" i="4"/>
  <c r="AB76" i="4"/>
  <c r="AB74" i="4"/>
  <c r="AB65" i="4"/>
  <c r="AB61" i="4"/>
  <c r="AB56" i="4"/>
  <c r="AB38" i="4"/>
  <c r="AB35" i="4"/>
  <c r="AB30" i="4"/>
  <c r="AB29" i="4"/>
  <c r="AB28" i="4"/>
  <c r="AB25" i="4"/>
  <c r="AC325" i="5"/>
  <c r="AC324" i="5"/>
  <c r="AC319" i="5"/>
  <c r="AC314" i="5"/>
  <c r="AC307" i="5"/>
  <c r="AC303" i="5"/>
  <c r="AC299" i="5"/>
  <c r="AC292" i="5"/>
  <c r="AC291" i="5"/>
  <c r="AC289" i="5"/>
  <c r="AC288" i="5"/>
  <c r="AC287" i="5"/>
  <c r="AC286" i="5"/>
  <c r="AC285" i="5"/>
  <c r="AC284" i="5"/>
  <c r="AC283" i="5"/>
  <c r="AC282" i="5"/>
  <c r="AC281" i="5"/>
  <c r="AC280" i="5"/>
  <c r="AC278" i="5"/>
  <c r="AC277" i="5"/>
  <c r="AC276" i="5"/>
  <c r="AC275" i="5"/>
  <c r="AC274" i="5"/>
  <c r="AC273" i="5"/>
  <c r="AC271" i="5"/>
  <c r="AC270" i="5"/>
  <c r="AC269" i="5"/>
  <c r="AC268" i="5"/>
  <c r="AC266" i="5"/>
  <c r="AC265" i="5"/>
  <c r="AC264" i="5"/>
  <c r="AC263" i="5"/>
  <c r="AC262" i="5"/>
  <c r="AC261" i="5"/>
  <c r="AC246" i="5"/>
  <c r="AC245" i="5"/>
  <c r="AC244" i="5"/>
  <c r="AC243" i="5"/>
  <c r="AC242" i="5"/>
  <c r="AC241" i="5"/>
  <c r="AC240" i="5"/>
  <c r="AC228" i="5"/>
  <c r="AC227" i="5"/>
  <c r="AC226" i="5"/>
  <c r="AC214" i="5"/>
  <c r="AC218" i="5"/>
  <c r="AC216" i="5"/>
  <c r="AC215" i="5"/>
  <c r="AC213" i="5"/>
  <c r="AC212" i="5"/>
  <c r="AC211" i="5"/>
  <c r="AC210" i="5"/>
  <c r="AC209" i="5"/>
  <c r="AC208" i="5"/>
  <c r="AC207" i="5"/>
  <c r="AC206" i="5"/>
  <c r="AC205" i="5"/>
  <c r="AC204" i="5"/>
  <c r="AC201" i="5"/>
  <c r="AC200" i="5"/>
  <c r="AC191" i="5"/>
  <c r="AC190" i="5"/>
  <c r="AC181" i="5"/>
  <c r="AC180" i="5"/>
  <c r="AC177" i="5"/>
  <c r="AC176" i="5"/>
  <c r="AC174" i="5"/>
  <c r="AC172" i="5"/>
  <c r="AC171" i="5"/>
  <c r="AC170" i="5"/>
  <c r="AC169" i="5"/>
  <c r="AC168" i="5"/>
  <c r="AC167" i="5"/>
  <c r="AC166" i="5"/>
  <c r="AC165" i="5"/>
  <c r="AC164" i="5"/>
  <c r="AC158" i="5"/>
  <c r="AC155" i="5"/>
  <c r="AC152" i="5"/>
  <c r="AC145" i="5"/>
  <c r="AC136" i="5"/>
  <c r="AC135" i="5"/>
  <c r="AC134" i="5"/>
  <c r="AC132" i="5"/>
  <c r="AC126" i="5"/>
  <c r="AC123" i="5"/>
  <c r="AC122" i="5"/>
  <c r="AC118" i="5"/>
  <c r="AC112" i="5"/>
  <c r="AC111" i="5"/>
  <c r="AC110" i="5"/>
  <c r="AC109" i="5"/>
  <c r="AC108" i="5"/>
  <c r="AC107" i="5"/>
  <c r="AC106" i="5"/>
  <c r="AC105" i="5"/>
  <c r="AC97" i="5"/>
  <c r="AC95" i="5"/>
  <c r="AC94" i="5"/>
  <c r="AC93" i="5"/>
  <c r="AC86" i="5"/>
  <c r="AC79" i="5"/>
  <c r="AC78" i="5"/>
  <c r="AC77" i="5"/>
  <c r="AC75" i="5"/>
  <c r="AC74" i="5"/>
  <c r="AC73" i="5"/>
  <c r="AC72" i="5"/>
  <c r="AC71" i="5"/>
  <c r="AC70" i="5"/>
  <c r="AC64" i="5"/>
  <c r="AC62" i="5"/>
  <c r="AC61" i="5"/>
  <c r="AC60" i="5"/>
  <c r="AC59" i="5"/>
  <c r="AC56" i="5"/>
  <c r="AC45" i="5"/>
  <c r="AC40" i="5"/>
  <c r="AC32" i="5"/>
  <c r="AC26" i="5"/>
  <c r="AC20" i="5"/>
  <c r="AC19" i="5"/>
  <c r="AC18" i="5"/>
  <c r="AC17" i="5"/>
  <c r="AC14" i="5"/>
  <c r="AC13" i="5"/>
  <c r="AC5" i="5"/>
  <c r="Z111" i="4"/>
  <c r="AB25" i="5" l="1"/>
  <c r="BJ14" i="4"/>
  <c r="BG22" i="4"/>
  <c r="I17" i="37"/>
  <c r="I25" i="37"/>
  <c r="I25" i="38"/>
  <c r="I17" i="38"/>
  <c r="BD113" i="4"/>
  <c r="BD1" i="4" s="1"/>
  <c r="L5" i="38"/>
  <c r="L9" i="38" s="1"/>
  <c r="L5" i="36"/>
  <c r="L9" i="36" s="1"/>
  <c r="L5" i="37"/>
  <c r="L9" i="37" s="1"/>
  <c r="I17" i="36"/>
  <c r="I25" i="36"/>
  <c r="D9" i="38"/>
  <c r="AJ113" i="4"/>
  <c r="AH1" i="5"/>
  <c r="BH188" i="5"/>
  <c r="BK181" i="5"/>
  <c r="BO181" i="5"/>
  <c r="BK25" i="5"/>
  <c r="BO25" i="5"/>
  <c r="BH163" i="5"/>
  <c r="BO159" i="5"/>
  <c r="BE335" i="5"/>
  <c r="R14" i="38" s="1"/>
  <c r="R15" i="38" s="1"/>
  <c r="E7" i="38"/>
  <c r="E7" i="36"/>
  <c r="E7" i="37"/>
  <c r="H7" i="33"/>
  <c r="AQ89" i="4"/>
  <c r="E6" i="37"/>
  <c r="AQ111" i="4"/>
  <c r="E6" i="38"/>
  <c r="F25" i="37"/>
  <c r="D12" i="36"/>
  <c r="D12" i="38"/>
  <c r="D12" i="37"/>
  <c r="F17" i="37"/>
  <c r="D14" i="38"/>
  <c r="D14" i="37"/>
  <c r="D13" i="38"/>
  <c r="D13" i="37"/>
  <c r="F17" i="38"/>
  <c r="F25" i="38"/>
  <c r="AP113" i="4"/>
  <c r="E8" i="37"/>
  <c r="E8" i="38"/>
  <c r="E8" i="36"/>
  <c r="H8" i="33"/>
  <c r="AQ33" i="4"/>
  <c r="D9" i="37"/>
  <c r="E5" i="37"/>
  <c r="E5" i="36"/>
  <c r="E5" i="38"/>
  <c r="AQ22" i="4"/>
  <c r="AL113" i="4"/>
  <c r="AQ113" i="4" s="1"/>
  <c r="D9" i="36"/>
  <c r="D13" i="36"/>
  <c r="F17" i="36"/>
  <c r="F25" i="36"/>
  <c r="D14" i="36"/>
  <c r="F17" i="33"/>
  <c r="AI80" i="5"/>
  <c r="AI318" i="5"/>
  <c r="AE337" i="5"/>
  <c r="AM337" i="5" s="1"/>
  <c r="AM335" i="5"/>
  <c r="AM333" i="5"/>
  <c r="AM332" i="5"/>
  <c r="AI25" i="5"/>
  <c r="AI138" i="5"/>
  <c r="AI195" i="5"/>
  <c r="AI139" i="5"/>
  <c r="AN293" i="5"/>
  <c r="AI23" i="5"/>
  <c r="AN294" i="5"/>
  <c r="AI294" i="5"/>
  <c r="AH332" i="5"/>
  <c r="AN223" i="5"/>
  <c r="AI223" i="5"/>
  <c r="AN230" i="5"/>
  <c r="AI230" i="5"/>
  <c r="AN81" i="5"/>
  <c r="AI81" i="5"/>
  <c r="AN329" i="5"/>
  <c r="AI329" i="5"/>
  <c r="AN8" i="5"/>
  <c r="AI8" i="5"/>
  <c r="AN129" i="5"/>
  <c r="AI129" i="5"/>
  <c r="AN186" i="5"/>
  <c r="AI186" i="5"/>
  <c r="AN87" i="5"/>
  <c r="AI87" i="5"/>
  <c r="AN313" i="5"/>
  <c r="AI313" i="5"/>
  <c r="AN43" i="5"/>
  <c r="AI43" i="5"/>
  <c r="AN130" i="5"/>
  <c r="AI130" i="5"/>
  <c r="AH335" i="5"/>
  <c r="E14" i="38" s="1"/>
  <c r="AN225" i="5"/>
  <c r="AI225" i="5"/>
  <c r="AN260" i="5"/>
  <c r="AI260" i="5"/>
  <c r="AN68" i="5"/>
  <c r="AI68" i="5"/>
  <c r="AN101" i="5"/>
  <c r="AI101" i="5"/>
  <c r="AN115" i="5"/>
  <c r="AI115" i="5"/>
  <c r="AN24" i="5"/>
  <c r="AI24" i="5"/>
  <c r="AH333" i="5"/>
  <c r="E13" i="38" s="1"/>
  <c r="AN162" i="5"/>
  <c r="AI162" i="5"/>
  <c r="AB101" i="5"/>
  <c r="AB138" i="5"/>
  <c r="AB195" i="5"/>
  <c r="AB23" i="5"/>
  <c r="AB129" i="5"/>
  <c r="AB186" i="5"/>
  <c r="AB115" i="5"/>
  <c r="AB260" i="5"/>
  <c r="AB68" i="5"/>
  <c r="AB293" i="5"/>
  <c r="AB225" i="5"/>
  <c r="AB24" i="5"/>
  <c r="AB333" i="5" s="1"/>
  <c r="AB230" i="5"/>
  <c r="AB80" i="5"/>
  <c r="AB162" i="5"/>
  <c r="AB335" i="5" l="1"/>
  <c r="BM14" i="4"/>
  <c r="BJ22" i="4"/>
  <c r="L25" i="36"/>
  <c r="L17" i="36"/>
  <c r="L17" i="37"/>
  <c r="L25" i="37"/>
  <c r="L17" i="38"/>
  <c r="L25" i="38"/>
  <c r="O5" i="37"/>
  <c r="O9" i="37" s="1"/>
  <c r="BG113" i="4"/>
  <c r="BG1" i="4" s="1"/>
  <c r="O5" i="38"/>
  <c r="O9" i="38" s="1"/>
  <c r="E12" i="38"/>
  <c r="E15" i="38" s="1"/>
  <c r="BK188" i="5"/>
  <c r="BO188" i="5"/>
  <c r="BH335" i="5"/>
  <c r="BO163" i="5"/>
  <c r="BK163" i="5"/>
  <c r="BE337" i="5"/>
  <c r="BE1" i="5" s="1"/>
  <c r="D15" i="36"/>
  <c r="D25" i="36" s="1"/>
  <c r="E9" i="37"/>
  <c r="H7" i="14"/>
  <c r="H6" i="14"/>
  <c r="E9" i="36"/>
  <c r="D15" i="38"/>
  <c r="D25" i="38" s="1"/>
  <c r="D15" i="37"/>
  <c r="D25" i="37" s="1"/>
  <c r="E9" i="33"/>
  <c r="H9" i="33" s="1"/>
  <c r="H5" i="33"/>
  <c r="H5" i="14"/>
  <c r="H8" i="14"/>
  <c r="E9" i="38"/>
  <c r="E14" i="36"/>
  <c r="E14" i="37"/>
  <c r="E13" i="36"/>
  <c r="E13" i="37"/>
  <c r="E12" i="36"/>
  <c r="E12" i="37"/>
  <c r="H14" i="33"/>
  <c r="H13" i="33"/>
  <c r="H12" i="33"/>
  <c r="AH337" i="5"/>
  <c r="AI337" i="5" s="1"/>
  <c r="AN335" i="5"/>
  <c r="AI335" i="5"/>
  <c r="AN333" i="5"/>
  <c r="AI333" i="5"/>
  <c r="AN332" i="5"/>
  <c r="AI332" i="5"/>
  <c r="AA24" i="5"/>
  <c r="AA329" i="5"/>
  <c r="AA318" i="5"/>
  <c r="AA295" i="5"/>
  <c r="AA294" i="5"/>
  <c r="AA225" i="5"/>
  <c r="AA224" i="5"/>
  <c r="AA188" i="5"/>
  <c r="AA187" i="5"/>
  <c r="AA163" i="5"/>
  <c r="AA151" i="5"/>
  <c r="AA139" i="5"/>
  <c r="AA131" i="5"/>
  <c r="AA116" i="5"/>
  <c r="AA102" i="5"/>
  <c r="AA81" i="5"/>
  <c r="AA80" i="5"/>
  <c r="Z31" i="5"/>
  <c r="Z23" i="5"/>
  <c r="Z24" i="5"/>
  <c r="Z25" i="5"/>
  <c r="AA25" i="5"/>
  <c r="Z8" i="5"/>
  <c r="Z89" i="4"/>
  <c r="X111" i="4"/>
  <c r="Z33" i="4"/>
  <c r="Z22" i="4"/>
  <c r="S293" i="5"/>
  <c r="S150" i="5"/>
  <c r="S129" i="5"/>
  <c r="Q129" i="5"/>
  <c r="R129" i="5"/>
  <c r="L188" i="5"/>
  <c r="AL188" i="5" s="1"/>
  <c r="Q186" i="5"/>
  <c r="S186" i="5"/>
  <c r="Y187" i="5"/>
  <c r="S31" i="5"/>
  <c r="Q31" i="5"/>
  <c r="Y31" i="5"/>
  <c r="Y295" i="5"/>
  <c r="O17" i="37" l="1"/>
  <c r="O25" i="37"/>
  <c r="R5" i="38"/>
  <c r="R9" i="38" s="1"/>
  <c r="BM22" i="4"/>
  <c r="BJ113" i="4"/>
  <c r="O25" i="38"/>
  <c r="O17" i="38"/>
  <c r="E15" i="36"/>
  <c r="E17" i="36" s="1"/>
  <c r="E21" i="36" s="1"/>
  <c r="E23" i="36" s="1"/>
  <c r="E25" i="36" s="1"/>
  <c r="BO335" i="5"/>
  <c r="BK335" i="5"/>
  <c r="BH337" i="5"/>
  <c r="E15" i="37"/>
  <c r="E17" i="37" s="1"/>
  <c r="E21" i="37" s="1"/>
  <c r="E23" i="37" s="1"/>
  <c r="E25" i="37" s="1"/>
  <c r="D17" i="37"/>
  <c r="D17" i="38"/>
  <c r="D17" i="36"/>
  <c r="E17" i="38"/>
  <c r="E21" i="38" s="1"/>
  <c r="E23" i="38" s="1"/>
  <c r="E25" i="38" s="1"/>
  <c r="E15" i="33"/>
  <c r="E17" i="33" s="1"/>
  <c r="H12" i="14"/>
  <c r="H13" i="14"/>
  <c r="AN337" i="5"/>
  <c r="AA335" i="5"/>
  <c r="Z113" i="4"/>
  <c r="AF113" i="4" s="1"/>
  <c r="AA333" i="5"/>
  <c r="AA332" i="5"/>
  <c r="Y188" i="5"/>
  <c r="T112" i="5"/>
  <c r="U112" i="5"/>
  <c r="X89" i="4"/>
  <c r="Y329" i="5"/>
  <c r="Y318" i="5"/>
  <c r="Y306" i="5"/>
  <c r="Y302" i="5"/>
  <c r="Y294" i="5"/>
  <c r="Y225" i="5"/>
  <c r="Y224" i="5"/>
  <c r="Y203" i="5"/>
  <c r="Y195" i="5"/>
  <c r="Y163" i="5"/>
  <c r="Y151" i="5"/>
  <c r="Y150" i="5"/>
  <c r="Y139" i="5"/>
  <c r="Y131" i="5"/>
  <c r="Y130" i="5"/>
  <c r="Y121" i="5"/>
  <c r="Y116" i="5"/>
  <c r="Y87" i="5"/>
  <c r="Y81" i="5"/>
  <c r="Y80" i="5"/>
  <c r="Y54" i="5"/>
  <c r="Y43" i="5"/>
  <c r="Y37" i="5"/>
  <c r="Y8" i="5"/>
  <c r="X27" i="4"/>
  <c r="AB27" i="4" s="1"/>
  <c r="X24" i="4"/>
  <c r="AB24" i="4" s="1"/>
  <c r="X6" i="4"/>
  <c r="AB6" i="4" s="1"/>
  <c r="X7" i="4"/>
  <c r="AB7" i="4" s="1"/>
  <c r="X8" i="4"/>
  <c r="AB8" i="4" s="1"/>
  <c r="X9" i="4"/>
  <c r="AB9" i="4" s="1"/>
  <c r="X10" i="4"/>
  <c r="AB10" i="4" s="1"/>
  <c r="X11" i="4"/>
  <c r="AB11" i="4" s="1"/>
  <c r="X14" i="4"/>
  <c r="AB14" i="4" s="1"/>
  <c r="X12" i="4"/>
  <c r="AB12" i="4" s="1"/>
  <c r="X13" i="4"/>
  <c r="AB13" i="4" s="1"/>
  <c r="X15" i="4"/>
  <c r="AB15" i="4" s="1"/>
  <c r="X16" i="4"/>
  <c r="AB16" i="4" s="1"/>
  <c r="X21" i="4"/>
  <c r="AB21" i="4" s="1"/>
  <c r="BM113" i="4" l="1"/>
  <c r="BJ1" i="4"/>
  <c r="D5" i="33"/>
  <c r="D9" i="33" s="1"/>
  <c r="D9" i="14"/>
  <c r="R17" i="38"/>
  <c r="R21" i="38" s="1"/>
  <c r="R23" i="38" s="1"/>
  <c r="R25" i="38" s="1"/>
  <c r="D14" i="33"/>
  <c r="D15" i="33" s="1"/>
  <c r="D14" i="14"/>
  <c r="BK337" i="5"/>
  <c r="BO337" i="5"/>
  <c r="BH1" i="5"/>
  <c r="H15" i="33"/>
  <c r="Y333" i="5"/>
  <c r="Y223" i="5"/>
  <c r="Y332" i="5" s="1"/>
  <c r="AB203" i="5"/>
  <c r="AB223" i="5" s="1"/>
  <c r="AB332" i="5" s="1"/>
  <c r="AB337" i="5" s="1"/>
  <c r="AC203" i="5"/>
  <c r="AC341" i="5" s="1"/>
  <c r="X33" i="4"/>
  <c r="AA337" i="5"/>
  <c r="AF337" i="5" s="1"/>
  <c r="Y335" i="5"/>
  <c r="D17" i="33" l="1"/>
  <c r="D16" i="14"/>
  <c r="Y337" i="5"/>
  <c r="Y1" i="5" s="1"/>
  <c r="AA1" i="5" s="1"/>
  <c r="U33" i="4"/>
  <c r="S203" i="5"/>
  <c r="D25" i="14" l="1"/>
  <c r="D21" i="33"/>
  <c r="D23" i="33" s="1"/>
  <c r="D25" i="33" s="1"/>
  <c r="V6" i="4"/>
  <c r="V7" i="4"/>
  <c r="V8" i="4"/>
  <c r="V9" i="4"/>
  <c r="V10" i="4"/>
  <c r="V11" i="4"/>
  <c r="V14" i="4"/>
  <c r="V12" i="4"/>
  <c r="V13" i="4"/>
  <c r="V15" i="4"/>
  <c r="V16" i="4"/>
  <c r="V21" i="4"/>
  <c r="U111" i="4"/>
  <c r="U89" i="4"/>
  <c r="U5" i="4"/>
  <c r="U325" i="5"/>
  <c r="T325" i="5"/>
  <c r="U324" i="5"/>
  <c r="T324" i="5"/>
  <c r="U319" i="5"/>
  <c r="T319" i="5"/>
  <c r="S329" i="5"/>
  <c r="R329" i="5"/>
  <c r="Q329" i="5"/>
  <c r="S318" i="5"/>
  <c r="R318" i="5"/>
  <c r="Q318" i="5"/>
  <c r="U315" i="5"/>
  <c r="T315" i="5"/>
  <c r="U314" i="5"/>
  <c r="T314" i="5"/>
  <c r="U309" i="5"/>
  <c r="T309" i="5"/>
  <c r="U307" i="5"/>
  <c r="T307" i="5"/>
  <c r="S313" i="5"/>
  <c r="R313" i="5"/>
  <c r="Q313" i="5"/>
  <c r="S306" i="5"/>
  <c r="R306" i="5"/>
  <c r="Q306" i="5"/>
  <c r="U303" i="5"/>
  <c r="T303" i="5"/>
  <c r="T306" i="5" s="1"/>
  <c r="S302" i="5"/>
  <c r="R302" i="5"/>
  <c r="Q302" i="5"/>
  <c r="U299" i="5"/>
  <c r="T299" i="5"/>
  <c r="T302" i="5" s="1"/>
  <c r="S294" i="5"/>
  <c r="R294" i="5"/>
  <c r="Q294" i="5"/>
  <c r="R293" i="5"/>
  <c r="Q293" i="5"/>
  <c r="T275" i="5"/>
  <c r="U275" i="5"/>
  <c r="T276" i="5"/>
  <c r="U276" i="5"/>
  <c r="T277" i="5"/>
  <c r="U277" i="5"/>
  <c r="T278" i="5"/>
  <c r="U278" i="5"/>
  <c r="T281" i="5"/>
  <c r="U281" i="5"/>
  <c r="T282" i="5"/>
  <c r="T294" i="5" s="1"/>
  <c r="U282" i="5"/>
  <c r="T283" i="5"/>
  <c r="U283" i="5"/>
  <c r="T284" i="5"/>
  <c r="U284" i="5"/>
  <c r="T285" i="5"/>
  <c r="U285" i="5"/>
  <c r="T287" i="5"/>
  <c r="U287" i="5"/>
  <c r="T288" i="5"/>
  <c r="U288" i="5"/>
  <c r="T291" i="5"/>
  <c r="U291" i="5"/>
  <c r="U271" i="5"/>
  <c r="U273" i="5"/>
  <c r="U274" i="5"/>
  <c r="T274" i="5"/>
  <c r="T273" i="5"/>
  <c r="T271" i="5"/>
  <c r="U270" i="5"/>
  <c r="T270" i="5"/>
  <c r="X5" i="4" l="1"/>
  <c r="V5" i="4"/>
  <c r="U22" i="4"/>
  <c r="U113" i="4" s="1"/>
  <c r="U293" i="5"/>
  <c r="U302" i="5"/>
  <c r="T318" i="5"/>
  <c r="U318" i="5"/>
  <c r="U329" i="5"/>
  <c r="U313" i="5"/>
  <c r="U294" i="5"/>
  <c r="U306" i="5"/>
  <c r="T329" i="5"/>
  <c r="T313" i="5"/>
  <c r="U268" i="5"/>
  <c r="T268" i="5"/>
  <c r="U266" i="5"/>
  <c r="T266" i="5"/>
  <c r="U265" i="5"/>
  <c r="T265" i="5"/>
  <c r="U264" i="5"/>
  <c r="T264" i="5"/>
  <c r="U263" i="5"/>
  <c r="T263" i="5"/>
  <c r="U262" i="5"/>
  <c r="T262" i="5"/>
  <c r="U261" i="5"/>
  <c r="T261" i="5"/>
  <c r="AB5" i="4" l="1"/>
  <c r="AB114" i="4" s="1"/>
  <c r="X22" i="4"/>
  <c r="X113" i="4" s="1"/>
  <c r="T293" i="5"/>
  <c r="R260" i="5"/>
  <c r="Q243" i="5"/>
  <c r="S243" i="5" s="1"/>
  <c r="Q244" i="5"/>
  <c r="S244" i="5" s="1"/>
  <c r="Q245" i="5"/>
  <c r="S245" i="5" s="1"/>
  <c r="U245" i="5" s="1"/>
  <c r="Q246" i="5"/>
  <c r="S246" i="5" s="1"/>
  <c r="T246" i="5" s="1"/>
  <c r="Q240" i="5"/>
  <c r="S240" i="5" s="1"/>
  <c r="U228" i="5"/>
  <c r="T228" i="5"/>
  <c r="U227" i="5"/>
  <c r="T227" i="5"/>
  <c r="U226" i="5"/>
  <c r="T226" i="5"/>
  <c r="S230" i="5"/>
  <c r="R230" i="5"/>
  <c r="Q230" i="5"/>
  <c r="S225" i="5"/>
  <c r="R225" i="5"/>
  <c r="Q225" i="5"/>
  <c r="S224" i="5"/>
  <c r="R224" i="5"/>
  <c r="Q224" i="5"/>
  <c r="S223" i="5"/>
  <c r="R223" i="5"/>
  <c r="Q223" i="5"/>
  <c r="U220" i="5"/>
  <c r="T220" i="5"/>
  <c r="U218" i="5"/>
  <c r="T218" i="5"/>
  <c r="U215" i="5"/>
  <c r="T215" i="5"/>
  <c r="U212" i="5"/>
  <c r="T212" i="5"/>
  <c r="U211" i="5"/>
  <c r="T211" i="5"/>
  <c r="T224" i="5" s="1"/>
  <c r="U210" i="5"/>
  <c r="T210" i="5"/>
  <c r="U209" i="5"/>
  <c r="T209" i="5"/>
  <c r="U208" i="5"/>
  <c r="T208" i="5"/>
  <c r="U207" i="5"/>
  <c r="T207" i="5"/>
  <c r="U206" i="5"/>
  <c r="T206" i="5"/>
  <c r="U205" i="5"/>
  <c r="T205" i="5"/>
  <c r="U204" i="5"/>
  <c r="T204" i="5"/>
  <c r="U203" i="5"/>
  <c r="T203" i="5"/>
  <c r="U201" i="5"/>
  <c r="T201" i="5"/>
  <c r="U200" i="5"/>
  <c r="T200" i="5"/>
  <c r="U223" i="5" l="1"/>
  <c r="U225" i="5"/>
  <c r="T240" i="5"/>
  <c r="U240" i="5"/>
  <c r="T230" i="5"/>
  <c r="U224" i="5"/>
  <c r="U243" i="5"/>
  <c r="T243" i="5"/>
  <c r="U230" i="5"/>
  <c r="T223" i="5"/>
  <c r="T225" i="5"/>
  <c r="T244" i="5"/>
  <c r="U244" i="5"/>
  <c r="S260" i="5"/>
  <c r="T245" i="5"/>
  <c r="Q260" i="5"/>
  <c r="U246" i="5"/>
  <c r="U260" i="5" l="1"/>
  <c r="T260" i="5"/>
  <c r="T191" i="5" l="1"/>
  <c r="U191" i="5"/>
  <c r="U189" i="5"/>
  <c r="T189" i="5"/>
  <c r="R195" i="5"/>
  <c r="S195" i="5"/>
  <c r="Q195" i="5"/>
  <c r="S188" i="5"/>
  <c r="R188" i="5"/>
  <c r="Q188" i="5"/>
  <c r="S187" i="5"/>
  <c r="R187" i="5"/>
  <c r="Q187" i="5"/>
  <c r="R186" i="5"/>
  <c r="U181" i="5"/>
  <c r="T181" i="5"/>
  <c r="T188" i="5" s="1"/>
  <c r="U180" i="5"/>
  <c r="T180" i="5"/>
  <c r="U177" i="5"/>
  <c r="T177" i="5"/>
  <c r="T187" i="5" s="1"/>
  <c r="U176" i="5"/>
  <c r="T176" i="5"/>
  <c r="U175" i="5"/>
  <c r="T175" i="5"/>
  <c r="U174" i="5"/>
  <c r="T174" i="5"/>
  <c r="U172" i="5"/>
  <c r="T172" i="5"/>
  <c r="U171" i="5"/>
  <c r="T171" i="5"/>
  <c r="U170" i="5"/>
  <c r="T170" i="5"/>
  <c r="U169" i="5"/>
  <c r="T169" i="5"/>
  <c r="U168" i="5"/>
  <c r="T168" i="5"/>
  <c r="U167" i="5"/>
  <c r="T167" i="5"/>
  <c r="U166" i="5"/>
  <c r="T166" i="5"/>
  <c r="U165" i="5"/>
  <c r="T165" i="5"/>
  <c r="U164" i="5"/>
  <c r="T164" i="5"/>
  <c r="S163" i="5"/>
  <c r="R163" i="5"/>
  <c r="Q163" i="5"/>
  <c r="S162" i="5"/>
  <c r="R162" i="5"/>
  <c r="Q162" i="5"/>
  <c r="U159" i="5"/>
  <c r="T159" i="5"/>
  <c r="T163" i="5" s="1"/>
  <c r="U158" i="5"/>
  <c r="T158" i="5"/>
  <c r="U155" i="5"/>
  <c r="T155" i="5"/>
  <c r="U152" i="5"/>
  <c r="T152" i="5"/>
  <c r="S151" i="5"/>
  <c r="R151" i="5"/>
  <c r="Q151" i="5"/>
  <c r="T150" i="5"/>
  <c r="R150" i="5"/>
  <c r="Q150" i="5"/>
  <c r="U145" i="5"/>
  <c r="T145" i="5"/>
  <c r="T151" i="5" s="1"/>
  <c r="S139" i="5"/>
  <c r="R139" i="5"/>
  <c r="Q139" i="5"/>
  <c r="S138" i="5"/>
  <c r="R138" i="5"/>
  <c r="Q138" i="5"/>
  <c r="U136" i="5"/>
  <c r="T136" i="5"/>
  <c r="T139" i="5" s="1"/>
  <c r="U135" i="5"/>
  <c r="T135" i="5"/>
  <c r="U134" i="5"/>
  <c r="T134" i="5"/>
  <c r="U133" i="5"/>
  <c r="T133" i="5"/>
  <c r="U132" i="5"/>
  <c r="T132" i="5"/>
  <c r="S131" i="5"/>
  <c r="R131" i="5"/>
  <c r="Q131" i="5"/>
  <c r="S130" i="5"/>
  <c r="R130" i="5"/>
  <c r="Q130" i="5"/>
  <c r="U127" i="5"/>
  <c r="T127" i="5"/>
  <c r="T131" i="5" s="1"/>
  <c r="U126" i="5"/>
  <c r="T126" i="5"/>
  <c r="T130" i="5" s="1"/>
  <c r="U122" i="5"/>
  <c r="T122" i="5"/>
  <c r="S121" i="5"/>
  <c r="R121" i="5"/>
  <c r="Q121" i="5"/>
  <c r="T120" i="5"/>
  <c r="S120" i="5"/>
  <c r="R120" i="5"/>
  <c r="Q120" i="5"/>
  <c r="U118" i="5"/>
  <c r="T118" i="5"/>
  <c r="T121" i="5" s="1"/>
  <c r="S116" i="5"/>
  <c r="R116" i="5"/>
  <c r="Q116" i="5"/>
  <c r="S115" i="5"/>
  <c r="R115" i="5"/>
  <c r="Q115" i="5"/>
  <c r="U111" i="5"/>
  <c r="T111" i="5"/>
  <c r="U110" i="5"/>
  <c r="T110" i="5"/>
  <c r="U109" i="5"/>
  <c r="T109" i="5"/>
  <c r="T116" i="5" s="1"/>
  <c r="U108" i="5"/>
  <c r="T108" i="5"/>
  <c r="U107" i="5"/>
  <c r="T107" i="5"/>
  <c r="U106" i="5"/>
  <c r="T106" i="5"/>
  <c r="U105" i="5"/>
  <c r="T105" i="5"/>
  <c r="U104" i="5"/>
  <c r="T104" i="5"/>
  <c r="S102" i="5"/>
  <c r="R102" i="5"/>
  <c r="Q102" i="5"/>
  <c r="U97" i="5"/>
  <c r="T97" i="5"/>
  <c r="T102" i="5" s="1"/>
  <c r="U95" i="5"/>
  <c r="T95" i="5"/>
  <c r="U94" i="5"/>
  <c r="T94" i="5"/>
  <c r="U93" i="5"/>
  <c r="T93" i="5"/>
  <c r="S101" i="5"/>
  <c r="R101" i="5"/>
  <c r="Q101" i="5"/>
  <c r="S87" i="5"/>
  <c r="R87" i="5"/>
  <c r="Q87" i="5"/>
  <c r="U86" i="5"/>
  <c r="T86" i="5"/>
  <c r="U85" i="5"/>
  <c r="T85" i="5"/>
  <c r="R81" i="5"/>
  <c r="S81" i="5"/>
  <c r="Q81" i="5"/>
  <c r="S80" i="5"/>
  <c r="R80" i="5"/>
  <c r="Q80" i="5"/>
  <c r="U79" i="5"/>
  <c r="T79" i="5"/>
  <c r="U78" i="5"/>
  <c r="T78" i="5"/>
  <c r="T81" i="5" s="1"/>
  <c r="U77" i="5"/>
  <c r="T77" i="5"/>
  <c r="U75" i="5"/>
  <c r="U74" i="5"/>
  <c r="T75" i="5"/>
  <c r="T74" i="5"/>
  <c r="U73" i="5"/>
  <c r="T73" i="5"/>
  <c r="U72" i="5"/>
  <c r="T72" i="5"/>
  <c r="U71" i="5"/>
  <c r="T71" i="5"/>
  <c r="U70" i="5"/>
  <c r="T70" i="5"/>
  <c r="S68" i="5"/>
  <c r="R68" i="5"/>
  <c r="Q68" i="5"/>
  <c r="U64" i="5"/>
  <c r="T64" i="5"/>
  <c r="U62" i="5"/>
  <c r="T62" i="5"/>
  <c r="U61" i="5"/>
  <c r="T61" i="5"/>
  <c r="U60" i="5"/>
  <c r="T60" i="5"/>
  <c r="U59" i="5"/>
  <c r="T59" i="5"/>
  <c r="U56" i="5"/>
  <c r="T56" i="5"/>
  <c r="R54" i="5"/>
  <c r="S54" i="5"/>
  <c r="Q54" i="5"/>
  <c r="U45" i="5"/>
  <c r="T45" i="5"/>
  <c r="T54" i="5" s="1"/>
  <c r="S43" i="5"/>
  <c r="R43" i="5"/>
  <c r="Q43" i="5"/>
  <c r="U40" i="5"/>
  <c r="T40" i="5"/>
  <c r="T43" i="5" s="1"/>
  <c r="R37" i="5"/>
  <c r="Q32" i="5"/>
  <c r="Q37" i="5" s="1"/>
  <c r="T20" i="5"/>
  <c r="T19" i="5"/>
  <c r="T24" i="5" s="1"/>
  <c r="T18" i="5"/>
  <c r="T17" i="5"/>
  <c r="T14" i="5"/>
  <c r="T5" i="5"/>
  <c r="T8" i="5" s="1"/>
  <c r="U20" i="5"/>
  <c r="U18" i="5"/>
  <c r="U19" i="5"/>
  <c r="U17" i="5"/>
  <c r="U14" i="5"/>
  <c r="U5" i="5"/>
  <c r="S25" i="5"/>
  <c r="S24" i="5"/>
  <c r="S23" i="5"/>
  <c r="S8" i="5"/>
  <c r="R25" i="5"/>
  <c r="Q25" i="5"/>
  <c r="R24" i="5"/>
  <c r="Q24" i="5"/>
  <c r="R23" i="5"/>
  <c r="Q23" i="5"/>
  <c r="R8" i="5"/>
  <c r="Q8" i="5"/>
  <c r="S5" i="4"/>
  <c r="T25" i="5" l="1"/>
  <c r="T335" i="5" s="1"/>
  <c r="T129" i="5"/>
  <c r="T162" i="5"/>
  <c r="Q333" i="5"/>
  <c r="U68" i="5"/>
  <c r="R332" i="5"/>
  <c r="Q332" i="5"/>
  <c r="U121" i="5"/>
  <c r="U151" i="5"/>
  <c r="R333" i="5"/>
  <c r="U116" i="5"/>
  <c r="S32" i="5"/>
  <c r="S37" i="5" s="1"/>
  <c r="S332" i="5" s="1"/>
  <c r="U162" i="5"/>
  <c r="U163" i="5"/>
  <c r="T115" i="5"/>
  <c r="S333" i="5"/>
  <c r="T333" i="5"/>
  <c r="U101" i="5"/>
  <c r="S335" i="5"/>
  <c r="R335" i="5"/>
  <c r="U138" i="5"/>
  <c r="Q335" i="5"/>
  <c r="U80" i="5"/>
  <c r="T87" i="5"/>
  <c r="U87" i="5"/>
  <c r="U129" i="5"/>
  <c r="U139" i="5"/>
  <c r="T186" i="5"/>
  <c r="T80" i="5"/>
  <c r="U102" i="5"/>
  <c r="U115" i="5"/>
  <c r="U120" i="5"/>
  <c r="U131" i="5"/>
  <c r="U150" i="5"/>
  <c r="U186" i="5"/>
  <c r="U187" i="5"/>
  <c r="U188" i="5"/>
  <c r="T68" i="5"/>
  <c r="U81" i="5"/>
  <c r="T101" i="5"/>
  <c r="U130" i="5"/>
  <c r="T138" i="5"/>
  <c r="U8" i="5"/>
  <c r="T23" i="5"/>
  <c r="U25" i="5"/>
  <c r="U43" i="5"/>
  <c r="U195" i="5"/>
  <c r="T195" i="5"/>
  <c r="U54" i="5"/>
  <c r="U23" i="5"/>
  <c r="U24" i="5"/>
  <c r="S6" i="4"/>
  <c r="S7" i="4"/>
  <c r="S8" i="4"/>
  <c r="S9" i="4"/>
  <c r="S10" i="4"/>
  <c r="Q6" i="4"/>
  <c r="Q7" i="4"/>
  <c r="Q8" i="4"/>
  <c r="Q9" i="4"/>
  <c r="Q10" i="4"/>
  <c r="Q5" i="4"/>
  <c r="R6" i="4"/>
  <c r="R7" i="4"/>
  <c r="R8" i="4"/>
  <c r="R9" i="4"/>
  <c r="R10" i="4"/>
  <c r="R5" i="4"/>
  <c r="P5" i="4"/>
  <c r="P6" i="4"/>
  <c r="P7" i="4"/>
  <c r="P8" i="4"/>
  <c r="P9" i="4"/>
  <c r="P10" i="4"/>
  <c r="R12" i="4"/>
  <c r="S12" i="4" s="1"/>
  <c r="R13" i="4"/>
  <c r="R15" i="4"/>
  <c r="S15" i="4" s="1"/>
  <c r="R16" i="4"/>
  <c r="S16" i="4" s="1"/>
  <c r="R21" i="4"/>
  <c r="S21" i="4" s="1"/>
  <c r="R14" i="4"/>
  <c r="S14" i="4" s="1"/>
  <c r="P21" i="4"/>
  <c r="Q21" i="4" s="1"/>
  <c r="P16" i="4"/>
  <c r="Q16" i="4" s="1"/>
  <c r="P15" i="4"/>
  <c r="Q15" i="4" s="1"/>
  <c r="P13" i="4"/>
  <c r="Q13" i="4" s="1"/>
  <c r="P12" i="4"/>
  <c r="Q12" i="4" s="1"/>
  <c r="P14" i="4"/>
  <c r="Q14" i="4" s="1"/>
  <c r="L89" i="4"/>
  <c r="C7" i="38" l="1"/>
  <c r="C7" i="37"/>
  <c r="C7" i="36"/>
  <c r="G7" i="14"/>
  <c r="AO89" i="4"/>
  <c r="U37" i="5"/>
  <c r="Q22" i="4"/>
  <c r="R22" i="4"/>
  <c r="S13" i="4"/>
  <c r="S22" i="4" s="1"/>
  <c r="P89" i="4"/>
  <c r="Q89" i="4" s="1"/>
  <c r="R89" i="4" s="1"/>
  <c r="S89" i="4" s="1"/>
  <c r="T32" i="5"/>
  <c r="T37" i="5" s="1"/>
  <c r="T332" i="5" s="1"/>
  <c r="T337" i="5" s="1"/>
  <c r="T1" i="5" s="1"/>
  <c r="R337" i="5"/>
  <c r="R1" i="5" s="1"/>
  <c r="Q337" i="5"/>
  <c r="Q1" i="5" s="1"/>
  <c r="S337" i="5"/>
  <c r="U32" i="5"/>
  <c r="U332" i="5"/>
  <c r="U333" i="5"/>
  <c r="P22" i="4"/>
  <c r="N122" i="5"/>
  <c r="M122" i="5"/>
  <c r="U337" i="5" l="1"/>
  <c r="S1" i="5"/>
  <c r="W288" i="5"/>
  <c r="L164" i="5"/>
  <c r="L186" i="5" s="1"/>
  <c r="AL186" i="5" s="1"/>
  <c r="L70" i="5"/>
  <c r="L306" i="5" l="1"/>
  <c r="AL306" i="5" s="1"/>
  <c r="L329" i="5"/>
  <c r="L132" i="5"/>
  <c r="L126" i="5"/>
  <c r="L129" i="5" s="1"/>
  <c r="AL129" i="5" s="1"/>
  <c r="L127" i="5"/>
  <c r="I101" i="4"/>
  <c r="I100" i="4"/>
  <c r="D111" i="4"/>
  <c r="L33" i="4"/>
  <c r="F33" i="4"/>
  <c r="D33" i="4"/>
  <c r="F223" i="5"/>
  <c r="D223" i="5"/>
  <c r="D306" i="5"/>
  <c r="F294" i="5"/>
  <c r="I294" i="5"/>
  <c r="L294" i="5"/>
  <c r="AL294" i="5" s="1"/>
  <c r="AL293" i="5"/>
  <c r="F293" i="5"/>
  <c r="D294" i="5"/>
  <c r="D293" i="5"/>
  <c r="I260" i="5"/>
  <c r="F260" i="5"/>
  <c r="D260" i="5"/>
  <c r="F230" i="5"/>
  <c r="D230" i="5"/>
  <c r="F225" i="5"/>
  <c r="D225" i="5"/>
  <c r="L224" i="5"/>
  <c r="AL224" i="5" s="1"/>
  <c r="I224" i="5"/>
  <c r="F224" i="5"/>
  <c r="D224" i="5"/>
  <c r="D187" i="5"/>
  <c r="F186" i="5"/>
  <c r="D186" i="5"/>
  <c r="I130" i="5"/>
  <c r="I129" i="5"/>
  <c r="D129" i="5"/>
  <c r="L120" i="5"/>
  <c r="AL120" i="5" s="1"/>
  <c r="I120" i="5"/>
  <c r="F120" i="5"/>
  <c r="D120" i="5"/>
  <c r="L116" i="5"/>
  <c r="AL116" i="5" s="1"/>
  <c r="I116" i="5"/>
  <c r="F116" i="5"/>
  <c r="D116" i="5"/>
  <c r="L115" i="5"/>
  <c r="AL115" i="5" s="1"/>
  <c r="I115" i="5"/>
  <c r="F115" i="5"/>
  <c r="D115" i="5"/>
  <c r="L101" i="5"/>
  <c r="AL101" i="5" s="1"/>
  <c r="I101" i="5"/>
  <c r="F101" i="5"/>
  <c r="D102" i="5"/>
  <c r="D101" i="5"/>
  <c r="F87" i="5"/>
  <c r="D87" i="5"/>
  <c r="F80" i="5"/>
  <c r="D80" i="5"/>
  <c r="I68" i="5"/>
  <c r="F68" i="5"/>
  <c r="D68" i="5"/>
  <c r="L54" i="5"/>
  <c r="AL54" i="5" s="1"/>
  <c r="I54" i="5"/>
  <c r="F54" i="5"/>
  <c r="D54" i="5"/>
  <c r="L43" i="5"/>
  <c r="AL43" i="5" s="1"/>
  <c r="F43" i="5"/>
  <c r="D43" i="5"/>
  <c r="D37" i="5"/>
  <c r="I31" i="5"/>
  <c r="F31" i="5"/>
  <c r="D31" i="5"/>
  <c r="L23" i="5"/>
  <c r="AL23" i="5" s="1"/>
  <c r="I23" i="5"/>
  <c r="F23" i="5"/>
  <c r="D23" i="5"/>
  <c r="D8" i="5"/>
  <c r="C8" i="38" l="1"/>
  <c r="C8" i="36"/>
  <c r="C8" i="37"/>
  <c r="G8" i="33"/>
  <c r="G8" i="14"/>
  <c r="AO33" i="4"/>
  <c r="W319" i="5"/>
  <c r="AL329" i="5"/>
  <c r="P33" i="4"/>
  <c r="Q33" i="4" s="1"/>
  <c r="R33" i="4" s="1"/>
  <c r="S33" i="4" s="1"/>
  <c r="I33" i="4"/>
  <c r="L226" i="5" l="1"/>
  <c r="L218" i="5"/>
  <c r="L203" i="5"/>
  <c r="L159" i="5"/>
  <c r="L163" i="5" s="1"/>
  <c r="AL163" i="5" s="1"/>
  <c r="N28" i="5"/>
  <c r="M28" i="5"/>
  <c r="N26" i="5"/>
  <c r="M26" i="5"/>
  <c r="I329" i="5"/>
  <c r="F329" i="5"/>
  <c r="D329" i="5"/>
  <c r="N325" i="5"/>
  <c r="M325" i="5"/>
  <c r="N324" i="5"/>
  <c r="M324" i="5"/>
  <c r="N319" i="5"/>
  <c r="M319" i="5"/>
  <c r="N315" i="5"/>
  <c r="M315" i="5"/>
  <c r="N314" i="5"/>
  <c r="M314" i="5"/>
  <c r="L318" i="5"/>
  <c r="AL318" i="5" s="1"/>
  <c r="I318" i="5"/>
  <c r="F318" i="5"/>
  <c r="D313" i="5"/>
  <c r="D318" i="5"/>
  <c r="N310" i="5"/>
  <c r="M310" i="5"/>
  <c r="N309" i="5"/>
  <c r="M309" i="5"/>
  <c r="N308" i="5"/>
  <c r="M308" i="5"/>
  <c r="N307" i="5"/>
  <c r="M307" i="5"/>
  <c r="L313" i="5"/>
  <c r="AL313" i="5" s="1"/>
  <c r="I313" i="5"/>
  <c r="F313" i="5"/>
  <c r="M303" i="5"/>
  <c r="I306" i="5"/>
  <c r="F306" i="5"/>
  <c r="L302" i="5"/>
  <c r="AL302" i="5" s="1"/>
  <c r="F302" i="5"/>
  <c r="D302" i="5"/>
  <c r="M299" i="5"/>
  <c r="I299" i="5"/>
  <c r="I302" i="5" s="1"/>
  <c r="N288" i="5"/>
  <c r="I278" i="5"/>
  <c r="N278" i="5" s="1"/>
  <c r="I277" i="5"/>
  <c r="N261" i="5"/>
  <c r="N291" i="5"/>
  <c r="M291" i="5"/>
  <c r="N287" i="5"/>
  <c r="M287" i="5"/>
  <c r="N286" i="5"/>
  <c r="M286" i="5"/>
  <c r="N285" i="5"/>
  <c r="M285" i="5"/>
  <c r="N284" i="5"/>
  <c r="M284" i="5"/>
  <c r="N283" i="5"/>
  <c r="M283" i="5"/>
  <c r="N282" i="5"/>
  <c r="M282" i="5"/>
  <c r="N281" i="5"/>
  <c r="M281" i="5"/>
  <c r="M278" i="5"/>
  <c r="M277" i="5"/>
  <c r="N276" i="5"/>
  <c r="M276" i="5"/>
  <c r="N275" i="5"/>
  <c r="M275" i="5"/>
  <c r="N274" i="5"/>
  <c r="M274" i="5"/>
  <c r="N273" i="5"/>
  <c r="M273" i="5"/>
  <c r="N271" i="5"/>
  <c r="M271" i="5"/>
  <c r="N270" i="5"/>
  <c r="M270" i="5"/>
  <c r="N269" i="5"/>
  <c r="M269" i="5"/>
  <c r="N268" i="5"/>
  <c r="M268" i="5"/>
  <c r="N266" i="5"/>
  <c r="M266" i="5"/>
  <c r="N265" i="5"/>
  <c r="M265" i="5"/>
  <c r="N264" i="5"/>
  <c r="M264" i="5"/>
  <c r="N263" i="5"/>
  <c r="M263" i="5"/>
  <c r="N262" i="5"/>
  <c r="M262" i="5"/>
  <c r="L260" i="5"/>
  <c r="N246" i="5"/>
  <c r="M246" i="5"/>
  <c r="N245" i="5"/>
  <c r="M245" i="5"/>
  <c r="N244" i="5"/>
  <c r="M244" i="5"/>
  <c r="N243" i="5"/>
  <c r="M243" i="5"/>
  <c r="N240" i="5"/>
  <c r="M240" i="5"/>
  <c r="M227" i="5"/>
  <c r="N227" i="5"/>
  <c r="M228" i="5"/>
  <c r="I228" i="5"/>
  <c r="N228" i="5" s="1"/>
  <c r="I226" i="5"/>
  <c r="M205" i="5"/>
  <c r="N205" i="5"/>
  <c r="M206" i="5"/>
  <c r="N206" i="5"/>
  <c r="D163" i="5"/>
  <c r="I163" i="5"/>
  <c r="F163" i="5"/>
  <c r="L204" i="5"/>
  <c r="M204" i="5" s="1"/>
  <c r="L223" i="5" l="1"/>
  <c r="AL223" i="5" s="1"/>
  <c r="M260" i="5"/>
  <c r="AL260" i="5"/>
  <c r="M226" i="5"/>
  <c r="L230" i="5"/>
  <c r="AL230" i="5" s="1"/>
  <c r="N260" i="5"/>
  <c r="I230" i="5"/>
  <c r="N277" i="5"/>
  <c r="I293" i="5"/>
  <c r="N159" i="5"/>
  <c r="L225" i="5"/>
  <c r="AL225" i="5" s="1"/>
  <c r="M203" i="5"/>
  <c r="M159" i="5"/>
  <c r="N313" i="5"/>
  <c r="N299" i="5"/>
  <c r="M318" i="5"/>
  <c r="M329" i="5"/>
  <c r="M313" i="5"/>
  <c r="N163" i="5"/>
  <c r="N294" i="5"/>
  <c r="N329" i="5"/>
  <c r="M294" i="5"/>
  <c r="N318" i="5"/>
  <c r="N302" i="5"/>
  <c r="M302" i="5"/>
  <c r="N303" i="5"/>
  <c r="M288" i="5"/>
  <c r="M261" i="5"/>
  <c r="M163" i="5"/>
  <c r="N226" i="5"/>
  <c r="N293" i="5" l="1"/>
  <c r="N306" i="5"/>
  <c r="M306" i="5"/>
  <c r="M293" i="5"/>
  <c r="N230" i="5"/>
  <c r="I220" i="5" l="1"/>
  <c r="N220" i="5" s="1"/>
  <c r="I218" i="5"/>
  <c r="I215" i="5"/>
  <c r="N215" i="5" s="1"/>
  <c r="I204" i="5"/>
  <c r="N204" i="5" s="1"/>
  <c r="I203" i="5"/>
  <c r="N203" i="5" s="1"/>
  <c r="I201" i="5"/>
  <c r="N201" i="5" s="1"/>
  <c r="I200" i="5"/>
  <c r="M220" i="5"/>
  <c r="M218" i="5"/>
  <c r="M215" i="5"/>
  <c r="N214" i="5"/>
  <c r="M214" i="5"/>
  <c r="N212" i="5"/>
  <c r="M212" i="5"/>
  <c r="N211" i="5"/>
  <c r="M211" i="5"/>
  <c r="N210" i="5"/>
  <c r="M210" i="5"/>
  <c r="N209" i="5"/>
  <c r="M209" i="5"/>
  <c r="N208" i="5"/>
  <c r="M208" i="5"/>
  <c r="N207" i="5"/>
  <c r="M207" i="5"/>
  <c r="M201" i="5"/>
  <c r="M200" i="5"/>
  <c r="L187" i="5"/>
  <c r="AL187" i="5" s="1"/>
  <c r="I188" i="5"/>
  <c r="I187" i="5"/>
  <c r="F188" i="5"/>
  <c r="F187" i="5"/>
  <c r="D188" i="5"/>
  <c r="N218" i="5" l="1"/>
  <c r="I225" i="5"/>
  <c r="I223" i="5"/>
  <c r="N223" i="5" s="1"/>
  <c r="M223" i="5"/>
  <c r="M230" i="5"/>
  <c r="M225" i="5"/>
  <c r="N200" i="5"/>
  <c r="M224" i="5"/>
  <c r="N224" i="5"/>
  <c r="N225" i="5" l="1"/>
  <c r="M188" i="5" l="1"/>
  <c r="N188" i="5"/>
  <c r="N187" i="5"/>
  <c r="M187" i="5"/>
  <c r="I167" i="5"/>
  <c r="N167" i="5" s="1"/>
  <c r="I166" i="5"/>
  <c r="N166" i="5" s="1"/>
  <c r="I164" i="5"/>
  <c r="N181" i="5"/>
  <c r="M181" i="5"/>
  <c r="N180" i="5"/>
  <c r="M180" i="5"/>
  <c r="N177" i="5"/>
  <c r="M177" i="5"/>
  <c r="N176" i="5"/>
  <c r="M176" i="5"/>
  <c r="N175" i="5"/>
  <c r="M175" i="5"/>
  <c r="N174" i="5"/>
  <c r="M174" i="5"/>
  <c r="N172" i="5"/>
  <c r="M172" i="5"/>
  <c r="N171" i="5"/>
  <c r="M171" i="5"/>
  <c r="N170" i="5"/>
  <c r="M170" i="5"/>
  <c r="N168" i="5"/>
  <c r="M168" i="5"/>
  <c r="M167" i="5"/>
  <c r="M166" i="5"/>
  <c r="N165" i="5"/>
  <c r="M165" i="5"/>
  <c r="N158" i="5"/>
  <c r="M158" i="5"/>
  <c r="N155" i="5"/>
  <c r="M155" i="5"/>
  <c r="N152" i="5"/>
  <c r="M152" i="5"/>
  <c r="L162" i="5"/>
  <c r="AL162" i="5" s="1"/>
  <c r="I162" i="5"/>
  <c r="F162" i="5"/>
  <c r="D162" i="5"/>
  <c r="M162" i="5" l="1"/>
  <c r="I186" i="5"/>
  <c r="N186" i="5" s="1"/>
  <c r="N162" i="5"/>
  <c r="M164" i="5"/>
  <c r="M186" i="5"/>
  <c r="N164" i="5"/>
  <c r="L80" i="5"/>
  <c r="AL80" i="5" s="1"/>
  <c r="N144" i="5" l="1"/>
  <c r="M144" i="5"/>
  <c r="L145" i="5"/>
  <c r="L150" i="5"/>
  <c r="AL150" i="5" s="1"/>
  <c r="I151" i="5"/>
  <c r="I150" i="5"/>
  <c r="F151" i="5"/>
  <c r="F150" i="5"/>
  <c r="D151" i="5"/>
  <c r="D150" i="5"/>
  <c r="N136" i="5"/>
  <c r="M136" i="5"/>
  <c r="N135" i="5"/>
  <c r="M135" i="5"/>
  <c r="N134" i="5"/>
  <c r="M134" i="5"/>
  <c r="N133" i="5"/>
  <c r="M133" i="5"/>
  <c r="L139" i="5"/>
  <c r="AL139" i="5" s="1"/>
  <c r="L138" i="5"/>
  <c r="AL138" i="5" s="1"/>
  <c r="I139" i="5"/>
  <c r="I138" i="5"/>
  <c r="F139" i="5"/>
  <c r="F138" i="5"/>
  <c r="D139" i="5"/>
  <c r="D138" i="5"/>
  <c r="N19" i="5"/>
  <c r="M19" i="5"/>
  <c r="N18" i="5"/>
  <c r="M18" i="5"/>
  <c r="N17" i="5"/>
  <c r="M17" i="5"/>
  <c r="N16" i="5"/>
  <c r="M16" i="5"/>
  <c r="N12" i="5"/>
  <c r="M12" i="5"/>
  <c r="I25" i="5"/>
  <c r="F25" i="5"/>
  <c r="D25" i="5"/>
  <c r="N20" i="5"/>
  <c r="N132" i="5"/>
  <c r="M132" i="5"/>
  <c r="N125" i="5"/>
  <c r="M125" i="5"/>
  <c r="N124" i="5"/>
  <c r="M124" i="5"/>
  <c r="F130" i="5"/>
  <c r="F129" i="5"/>
  <c r="D131" i="5"/>
  <c r="D130" i="5"/>
  <c r="I131" i="5"/>
  <c r="F131" i="5"/>
  <c r="L121" i="5"/>
  <c r="AL121" i="5" s="1"/>
  <c r="I121" i="5"/>
  <c r="F121" i="5"/>
  <c r="D121" i="5"/>
  <c r="N118" i="5"/>
  <c r="M118" i="5"/>
  <c r="N117" i="5"/>
  <c r="M117" i="5"/>
  <c r="L31" i="5"/>
  <c r="AL31" i="5" s="1"/>
  <c r="M116" i="5"/>
  <c r="L102" i="5"/>
  <c r="AL102" i="5" s="1"/>
  <c r="I102" i="5"/>
  <c r="F102" i="5"/>
  <c r="M94" i="5"/>
  <c r="N94" i="5"/>
  <c r="M95" i="5"/>
  <c r="N95" i="5"/>
  <c r="M96" i="5"/>
  <c r="N96" i="5"/>
  <c r="M97" i="5"/>
  <c r="N97" i="5"/>
  <c r="M104" i="5"/>
  <c r="N104" i="5"/>
  <c r="M105" i="5"/>
  <c r="N105" i="5"/>
  <c r="M106" i="5"/>
  <c r="N106" i="5"/>
  <c r="M107" i="5"/>
  <c r="N107" i="5"/>
  <c r="M108" i="5"/>
  <c r="N108" i="5"/>
  <c r="M109" i="5"/>
  <c r="N109" i="5"/>
  <c r="M110" i="5"/>
  <c r="N110" i="5"/>
  <c r="M111" i="5"/>
  <c r="N111" i="5"/>
  <c r="M112" i="5"/>
  <c r="N112" i="5"/>
  <c r="N93" i="5"/>
  <c r="M93" i="5"/>
  <c r="N45" i="5"/>
  <c r="M45" i="5"/>
  <c r="I24" i="5"/>
  <c r="L24" i="5"/>
  <c r="AL24" i="5" s="1"/>
  <c r="L37" i="5"/>
  <c r="AL37" i="5" s="1"/>
  <c r="I37" i="5"/>
  <c r="F37" i="5"/>
  <c r="D24" i="5"/>
  <c r="L81" i="5"/>
  <c r="AL81" i="5" s="1"/>
  <c r="I81" i="5"/>
  <c r="F81" i="5"/>
  <c r="D81" i="5"/>
  <c r="F24" i="5"/>
  <c r="L14" i="5"/>
  <c r="L25" i="5" s="1"/>
  <c r="AL25" i="5" s="1"/>
  <c r="N32" i="5"/>
  <c r="M32" i="5"/>
  <c r="I40" i="5"/>
  <c r="M40" i="5"/>
  <c r="N38" i="5"/>
  <c r="M38" i="5"/>
  <c r="L8" i="5"/>
  <c r="AL8" i="5" s="1"/>
  <c r="I8" i="5"/>
  <c r="F8" i="5"/>
  <c r="L87" i="5"/>
  <c r="AL87" i="5" s="1"/>
  <c r="N86" i="5"/>
  <c r="M86" i="5"/>
  <c r="N85" i="5"/>
  <c r="M85" i="5"/>
  <c r="N79" i="5"/>
  <c r="M79" i="5"/>
  <c r="N78" i="5"/>
  <c r="M78" i="5"/>
  <c r="N77" i="5"/>
  <c r="M77" i="5"/>
  <c r="N75" i="5"/>
  <c r="M75" i="5"/>
  <c r="N74" i="5"/>
  <c r="M74" i="5"/>
  <c r="N73" i="5"/>
  <c r="M73" i="5"/>
  <c r="N72" i="5"/>
  <c r="M72" i="5"/>
  <c r="N71" i="5"/>
  <c r="M71" i="5"/>
  <c r="D332" i="5" l="1"/>
  <c r="M139" i="5"/>
  <c r="L151" i="5"/>
  <c r="V145" i="5"/>
  <c r="F332" i="5"/>
  <c r="N40" i="5"/>
  <c r="I43" i="5"/>
  <c r="N43" i="5" s="1"/>
  <c r="I87" i="5"/>
  <c r="N87" i="5" s="1"/>
  <c r="I333" i="5"/>
  <c r="D333" i="5"/>
  <c r="F333" i="5"/>
  <c r="F335" i="5"/>
  <c r="I335" i="5"/>
  <c r="D335" i="5"/>
  <c r="M150" i="5"/>
  <c r="M145" i="5"/>
  <c r="N145" i="5"/>
  <c r="N150" i="5"/>
  <c r="N138" i="5"/>
  <c r="M138" i="5"/>
  <c r="N139" i="5"/>
  <c r="M20" i="5"/>
  <c r="N25" i="5"/>
  <c r="N14" i="5"/>
  <c r="M14" i="5"/>
  <c r="N101" i="5"/>
  <c r="M31" i="5"/>
  <c r="N102" i="5"/>
  <c r="M120" i="5"/>
  <c r="M121" i="5"/>
  <c r="N120" i="5"/>
  <c r="N121" i="5"/>
  <c r="N116" i="5"/>
  <c r="N31" i="5"/>
  <c r="M101" i="5"/>
  <c r="M102" i="5"/>
  <c r="M37" i="5"/>
  <c r="M43" i="5"/>
  <c r="M81" i="5"/>
  <c r="N81" i="5"/>
  <c r="N23" i="5"/>
  <c r="M24" i="5"/>
  <c r="N8" i="5"/>
  <c r="N37" i="5"/>
  <c r="M23" i="5"/>
  <c r="M115" i="5"/>
  <c r="N115" i="5"/>
  <c r="N24" i="5"/>
  <c r="M8" i="5"/>
  <c r="M54" i="5"/>
  <c r="N70" i="5"/>
  <c r="I80" i="5"/>
  <c r="N80" i="5" s="1"/>
  <c r="M70" i="5"/>
  <c r="M87" i="5"/>
  <c r="M80" i="5"/>
  <c r="M151" i="5" l="1"/>
  <c r="AL151" i="5"/>
  <c r="N151" i="5"/>
  <c r="M25" i="5"/>
  <c r="N54" i="5"/>
  <c r="C12" i="34" l="1"/>
  <c r="I332" i="5"/>
  <c r="N61" i="5"/>
  <c r="M61" i="5"/>
  <c r="N59" i="5"/>
  <c r="M59" i="5"/>
  <c r="N58" i="5"/>
  <c r="M58" i="5"/>
  <c r="N57" i="5"/>
  <c r="M57" i="5"/>
  <c r="N56" i="5"/>
  <c r="M56" i="5"/>
  <c r="L60" i="5"/>
  <c r="L62" i="5"/>
  <c r="M62" i="5" s="1"/>
  <c r="L64" i="5"/>
  <c r="M64" i="5" s="1"/>
  <c r="N5" i="5"/>
  <c r="M5" i="5"/>
  <c r="J23" i="5" l="1"/>
  <c r="J54" i="5"/>
  <c r="J101" i="5"/>
  <c r="J138" i="5"/>
  <c r="J230" i="5"/>
  <c r="J318" i="5"/>
  <c r="J43" i="5"/>
  <c r="J87" i="5"/>
  <c r="J129" i="5"/>
  <c r="J223" i="5"/>
  <c r="J306" i="5"/>
  <c r="J37" i="5"/>
  <c r="J80" i="5"/>
  <c r="J120" i="5"/>
  <c r="J186" i="5"/>
  <c r="J313" i="5"/>
  <c r="J31" i="5"/>
  <c r="J68" i="5"/>
  <c r="J115" i="5"/>
  <c r="J162" i="5"/>
  <c r="J293" i="5"/>
  <c r="M60" i="5"/>
  <c r="L68" i="5"/>
  <c r="AL68" i="5" s="1"/>
  <c r="N64" i="5"/>
  <c r="N60" i="5"/>
  <c r="N62" i="5"/>
  <c r="E14" i="14" l="1"/>
  <c r="M68" i="5"/>
  <c r="N68" i="5"/>
  <c r="C11" i="34" l="1"/>
  <c r="C13" i="34" s="1"/>
  <c r="F111" i="4"/>
  <c r="N101" i="4"/>
  <c r="M101" i="4"/>
  <c r="N100" i="4"/>
  <c r="M100" i="4"/>
  <c r="M95" i="4"/>
  <c r="N83" i="4"/>
  <c r="M81" i="4"/>
  <c r="N81" i="4"/>
  <c r="L82" i="4"/>
  <c r="N80" i="4"/>
  <c r="M80" i="4"/>
  <c r="N79" i="4"/>
  <c r="M79" i="4"/>
  <c r="N38" i="4"/>
  <c r="M38" i="4"/>
  <c r="N35" i="4"/>
  <c r="M35" i="4"/>
  <c r="M82" i="4" l="1"/>
  <c r="AO82" i="4"/>
  <c r="N82" i="4"/>
  <c r="L111" i="4"/>
  <c r="M83" i="4"/>
  <c r="I89" i="4"/>
  <c r="F89" i="4"/>
  <c r="M89" i="4" s="1"/>
  <c r="D89" i="4"/>
  <c r="N87" i="4"/>
  <c r="M87" i="4"/>
  <c r="N56" i="4"/>
  <c r="M56" i="4"/>
  <c r="M61" i="4"/>
  <c r="I61" i="4"/>
  <c r="N61" i="4" s="1"/>
  <c r="N29" i="4"/>
  <c r="M29" i="4"/>
  <c r="N28" i="4"/>
  <c r="M28" i="4"/>
  <c r="N27" i="4"/>
  <c r="M27" i="4"/>
  <c r="N24" i="4"/>
  <c r="M24" i="4"/>
  <c r="M33" i="4"/>
  <c r="N25" i="4"/>
  <c r="M25" i="4"/>
  <c r="M21" i="4"/>
  <c r="F22" i="4"/>
  <c r="D22" i="4"/>
  <c r="L22" i="4"/>
  <c r="C6" i="38" l="1"/>
  <c r="C6" i="36"/>
  <c r="C6" i="37"/>
  <c r="G6" i="33"/>
  <c r="AO111" i="4"/>
  <c r="G6" i="14"/>
  <c r="C5" i="38"/>
  <c r="C5" i="37"/>
  <c r="C5" i="36"/>
  <c r="G5" i="14"/>
  <c r="AO22" i="4"/>
  <c r="U90" i="4"/>
  <c r="P90" i="4"/>
  <c r="P91" i="4" s="1"/>
  <c r="R90" i="4"/>
  <c r="S90" i="4"/>
  <c r="Q90" i="4"/>
  <c r="W90" i="4"/>
  <c r="P111" i="4"/>
  <c r="P113" i="4" s="1"/>
  <c r="D9" i="34"/>
  <c r="L113" i="4"/>
  <c r="AO113" i="4" s="1"/>
  <c r="D113" i="4"/>
  <c r="F113" i="4"/>
  <c r="N33" i="4"/>
  <c r="M111" i="4"/>
  <c r="M22" i="4"/>
  <c r="N89" i="4"/>
  <c r="I16" i="4"/>
  <c r="N16" i="4" s="1"/>
  <c r="I21" i="4"/>
  <c r="N21" i="4" s="1"/>
  <c r="I14" i="4"/>
  <c r="N14" i="4" s="1"/>
  <c r="I12" i="4"/>
  <c r="N12" i="4" s="1"/>
  <c r="I13" i="4"/>
  <c r="N13" i="4" s="1"/>
  <c r="I15" i="4"/>
  <c r="N15" i="4" s="1"/>
  <c r="I11" i="4"/>
  <c r="K11" i="4" s="1"/>
  <c r="M6" i="4"/>
  <c r="M7" i="4"/>
  <c r="M8" i="4"/>
  <c r="M9" i="4"/>
  <c r="M10" i="4"/>
  <c r="M11" i="4"/>
  <c r="M14" i="4"/>
  <c r="M12" i="4"/>
  <c r="M13" i="4"/>
  <c r="M15" i="4"/>
  <c r="M16" i="4"/>
  <c r="M5" i="4"/>
  <c r="I2" i="4"/>
  <c r="I95" i="4" s="1"/>
  <c r="I111" i="4" s="1"/>
  <c r="C9" i="37" l="1"/>
  <c r="C9" i="36"/>
  <c r="C9" i="33"/>
  <c r="G9" i="33" s="1"/>
  <c r="G5" i="33"/>
  <c r="C9" i="38"/>
  <c r="R113" i="4"/>
  <c r="C9" i="14"/>
  <c r="C9" i="34"/>
  <c r="D7" i="34"/>
  <c r="C8" i="34"/>
  <c r="D8" i="34"/>
  <c r="M113" i="4"/>
  <c r="N95" i="4"/>
  <c r="N11" i="4"/>
  <c r="F15" i="34" l="1"/>
  <c r="F16" i="34" s="1"/>
  <c r="D6" i="34"/>
  <c r="D10" i="34" s="1"/>
  <c r="N111" i="4"/>
  <c r="N10" i="4"/>
  <c r="K10" i="4"/>
  <c r="N8" i="4"/>
  <c r="K8" i="4"/>
  <c r="K6" i="4"/>
  <c r="N6" i="4"/>
  <c r="I22" i="4"/>
  <c r="N5" i="4"/>
  <c r="K5" i="4"/>
  <c r="N7" i="4"/>
  <c r="K7" i="4"/>
  <c r="K9" i="4"/>
  <c r="N9" i="4"/>
  <c r="F9" i="14"/>
  <c r="F17" i="34" l="1"/>
  <c r="E15" i="34"/>
  <c r="E16" i="34" s="1"/>
  <c r="G9" i="14"/>
  <c r="I113" i="4"/>
  <c r="N113" i="4" s="1"/>
  <c r="C7" i="34"/>
  <c r="N22" i="4"/>
  <c r="E17" i="34" l="1"/>
  <c r="E9" i="14"/>
  <c r="L130" i="5"/>
  <c r="L332" i="5"/>
  <c r="C12" i="38" s="1"/>
  <c r="N127" i="5"/>
  <c r="L131" i="5"/>
  <c r="M127" i="5"/>
  <c r="M126" i="5"/>
  <c r="N126" i="5"/>
  <c r="C6" i="34" l="1"/>
  <c r="C10" i="34" s="1"/>
  <c r="C12" i="36"/>
  <c r="C12" i="37"/>
  <c r="G12" i="33"/>
  <c r="E16" i="14"/>
  <c r="H9" i="14"/>
  <c r="L335" i="5"/>
  <c r="C14" i="38" s="1"/>
  <c r="C15" i="38" s="1"/>
  <c r="AL131" i="5"/>
  <c r="L333" i="5"/>
  <c r="C13" i="38" s="1"/>
  <c r="AL130" i="5"/>
  <c r="G12" i="14"/>
  <c r="AL332" i="5"/>
  <c r="O43" i="5"/>
  <c r="O87" i="5"/>
  <c r="O129" i="5"/>
  <c r="O223" i="5"/>
  <c r="O318" i="5"/>
  <c r="O37" i="5"/>
  <c r="O80" i="5"/>
  <c r="O120" i="5"/>
  <c r="O186" i="5"/>
  <c r="O306" i="5"/>
  <c r="O31" i="5"/>
  <c r="O68" i="5"/>
  <c r="O115" i="5"/>
  <c r="O162" i="5"/>
  <c r="O23" i="5"/>
  <c r="O54" i="5"/>
  <c r="O101" i="5"/>
  <c r="O138" i="5"/>
  <c r="O230" i="5"/>
  <c r="O293" i="5"/>
  <c r="N332" i="5"/>
  <c r="M332" i="5"/>
  <c r="M339" i="5"/>
  <c r="M129" i="5"/>
  <c r="N129" i="5"/>
  <c r="M131" i="5"/>
  <c r="N131" i="5"/>
  <c r="M130" i="5"/>
  <c r="N130" i="5"/>
  <c r="E21" i="33" l="1"/>
  <c r="C25" i="38"/>
  <c r="C17" i="38"/>
  <c r="C13" i="36"/>
  <c r="C13" i="37"/>
  <c r="C14" i="36"/>
  <c r="C15" i="36" s="1"/>
  <c r="C25" i="36" s="1"/>
  <c r="C14" i="37"/>
  <c r="C15" i="37" s="1"/>
  <c r="G13" i="33"/>
  <c r="G14" i="33"/>
  <c r="M335" i="5"/>
  <c r="M333" i="5"/>
  <c r="G13" i="14"/>
  <c r="AL335" i="5"/>
  <c r="AL333" i="5"/>
  <c r="N335" i="5"/>
  <c r="N333" i="5"/>
  <c r="L337" i="5"/>
  <c r="AL337" i="5" s="1"/>
  <c r="D12" i="34"/>
  <c r="D11" i="34"/>
  <c r="F14" i="14"/>
  <c r="D13" i="34" l="1"/>
  <c r="C17" i="34"/>
  <c r="C15" i="34"/>
  <c r="C16" i="34" s="1"/>
  <c r="C17" i="36"/>
  <c r="C25" i="37"/>
  <c r="C17" i="37"/>
  <c r="C15" i="33"/>
  <c r="C17" i="33" s="1"/>
  <c r="C14" i="14"/>
  <c r="G14" i="14" s="1"/>
  <c r="F16" i="14"/>
  <c r="H14" i="14"/>
  <c r="D17" i="34"/>
  <c r="G15" i="33" l="1"/>
  <c r="C16" i="14"/>
  <c r="C25" i="14" l="1"/>
  <c r="C20" i="33"/>
  <c r="C23" i="33" s="1"/>
  <c r="C25" i="33" s="1"/>
  <c r="E20" i="33"/>
  <c r="E23" i="33" s="1"/>
  <c r="E25" i="33" s="1"/>
  <c r="E25" i="14"/>
  <c r="F20" i="33"/>
  <c r="F23" i="33" s="1"/>
  <c r="F25" i="33" s="1"/>
  <c r="F25" i="14"/>
  <c r="EF186" i="5"/>
  <c r="EF332" i="5" s="1"/>
  <c r="EF337" i="5" s="1"/>
  <c r="EF1" i="5" s="1"/>
  <c r="EE166" i="5"/>
  <c r="EG166" i="5"/>
  <c r="EG186" i="5" l="1"/>
  <c r="EG332" i="5" s="1"/>
  <c r="EG337" i="5" s="1"/>
  <c r="EG1" i="5" s="1"/>
  <c r="EG33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Koštanský</author>
  </authors>
  <commentList>
    <comment ref="F19" authorId="0" shapeId="0" xr:uid="{C78BAAED-DCF4-47B9-A58C-BBB1A194944E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úvěr na financování výstavby DS</t>
        </r>
      </text>
    </comment>
    <comment ref="F20" authorId="0" shapeId="0" xr:uid="{5D23BBF5-3AD0-4008-B1AA-16B805ADC9AB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splácení jistiny úvěru na výstavbu DS</t>
        </r>
      </text>
    </comment>
    <comment ref="F26" authorId="0" shapeId="0" xr:uid="{9CDED68B-C61A-4551-9F6E-2CA4B15745E2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splátky jistiny úvěru na traktor KIOTI do 31.3.2029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Koštanský</author>
    <author>Obec Ondratice</author>
    <author>Ondratice</author>
    <author>tc={DAC59FBD-B748-4675-AB1D-1D5FF2885DA8}</author>
  </authors>
  <commentList>
    <comment ref="EK9" authorId="0" shapeId="0" xr:uid="{10543D20-D234-4BFA-9023-D292A2A3842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stejná částka jde i do výdajů</t>
        </r>
      </text>
    </comment>
    <comment ref="BO12" authorId="1" shapeId="0" xr:uid="{00000000-0006-0000-0B00-00000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spočítat - odhadnout psy
</t>
        </r>
      </text>
    </comment>
    <comment ref="EK12" authorId="0" shapeId="0" xr:uid="{B4BC5C8D-B67D-4979-8EE3-6DE9E3E4D2C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79 psů  krát 200,-</t>
        </r>
      </text>
    </comment>
    <comment ref="AN14" authorId="1" shapeId="0" xr:uid="{00000000-0006-0000-0B00-00000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předpokládaných 315 poplatníků</t>
        </r>
      </text>
    </comment>
    <comment ref="BO14" authorId="1" shapeId="0" xr:uid="{00000000-0006-0000-0B00-00000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předpoklad: 333 poplatníků</t>
        </r>
      </text>
    </comment>
    <comment ref="CR14" authorId="1" shapeId="0" xr:uid="{00000000-0006-0000-0B00-00000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333 platících poplatníků</t>
        </r>
      </text>
    </comment>
    <comment ref="DU14" authorId="0" shapeId="0" xr:uid="{906F1036-11B8-4362-ADA6-735F854239D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335 platících poplatníků krát 900,- Kč</t>
        </r>
      </text>
    </comment>
    <comment ref="EK14" authorId="0" shapeId="0" xr:uid="{B10EC242-434D-4275-80D3-1B8B29AE94D7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330 platících poplatníků krát 900,- Kč</t>
        </r>
      </text>
    </comment>
    <comment ref="CR24" authorId="1" shapeId="0" xr:uid="{00000000-0006-0000-0B00-00000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na volbu prezidenta</t>
        </r>
      </text>
    </comment>
    <comment ref="DU24" authorId="0" shapeId="0" xr:uid="{A303C7E1-467A-41E5-B885-801C339465B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příspěvky na volby</t>
        </r>
      </text>
    </comment>
    <comment ref="EC24" authorId="0" shapeId="0" xr:uid="{731E168A-BE38-46AE-B0A7-5B2AB31C842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dotace na volby</t>
        </r>
      </text>
    </comment>
    <comment ref="BZ25" authorId="2" shapeId="0" xr:uid="{00000000-0006-0000-0B00-000006000000}">
      <text>
        <r>
          <rPr>
            <b/>
            <sz val="9"/>
            <color indexed="81"/>
            <rFont val="Tahoma"/>
            <family val="2"/>
            <charset val="238"/>
          </rPr>
          <t>Ondratice:</t>
        </r>
        <r>
          <rPr>
            <sz val="9"/>
            <color indexed="81"/>
            <rFont val="Tahoma"/>
            <family val="2"/>
            <charset val="238"/>
          </rPr>
          <t xml:space="preserve">
OL kraj: žádám Vás o opravu příspěvku na výkon státní správy pol. 4112. V rozpočtu máte částku ve výši 82 800,- kč, dle rozpisového dopisu Vám byla schválena částka ve výši 83 000,- Kč</t>
        </r>
      </text>
    </comment>
    <comment ref="CR25" authorId="1" shapeId="0" xr:uid="{00000000-0006-0000-0B00-00000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příspěvek na výkon státní správy</t>
        </r>
      </text>
    </comment>
    <comment ref="DU25" authorId="1" shapeId="0" xr:uid="{D1F26010-EFF2-489E-87B6-C2FFDF87CA1A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příspěvek na výkon státní správy</t>
        </r>
      </text>
    </comment>
    <comment ref="EK25" authorId="0" shapeId="0" xr:uid="{A5844E68-5770-4D87-BFF7-2D63717FDEC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příspěvek na státní správu</t>
        </r>
      </text>
    </comment>
    <comment ref="BO27" authorId="1" shapeId="0" xr:uid="{00000000-0006-0000-0B00-00000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1.145.471,- dotace MMR na střechu č.p.31 (NEINV)</t>
        </r>
      </text>
    </comment>
    <comment ref="DD27" authorId="0" shapeId="0" xr:uid="{0EBD5EEA-205A-42AE-A8A1-F3649236CF7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dotace na VPP</t>
        </r>
      </text>
    </comment>
    <comment ref="DU27" authorId="0" shapeId="0" xr:uid="{E54E8BE9-71B0-4D73-8141-A9440CD5EA5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VPP</t>
        </r>
      </text>
    </comment>
    <comment ref="DZ27" authorId="0" shapeId="0" xr:uid="{86707401-9A5C-4864-96EF-47657B25065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Suchánková - NOE</t>
        </r>
      </text>
    </comment>
    <comment ref="EK27" authorId="0" shapeId="0" xr:uid="{C0C260E9-AE56-4FCF-A3D4-EC5BF39E1C27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příspěek ÚP na pracovníka</t>
        </r>
      </text>
    </comment>
    <comment ref="DU28" authorId="0" shapeId="0" xr:uid="{327F5FD5-B798-4BAD-8909-8135D6112CB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100.000,- Dotace Obchůdek z OL kraje</t>
        </r>
      </text>
    </comment>
    <comment ref="EK28" authorId="0" shapeId="0" xr:uid="{F8CDAF33-9980-43B0-BA94-36D548F7A5E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dotace z Olkraje (obchůdek, JSDH, individuál)</t>
        </r>
      </text>
    </comment>
    <comment ref="EN28" authorId="0" shapeId="0" xr:uid="{1C66CA9D-8EC9-4013-BCEA-4C3EAF9F0C98}">
      <text>
        <r>
          <rPr>
            <b/>
            <sz val="11"/>
            <color indexed="81"/>
            <rFont val="Tahoma"/>
            <charset val="1"/>
          </rPr>
          <t>Bob Koštanský:</t>
        </r>
        <r>
          <rPr>
            <sz val="11"/>
            <color indexed="81"/>
            <rFont val="Tahoma"/>
            <charset val="1"/>
          </rPr>
          <t xml:space="preserve">
očekávaná dotace z kraje Obchůdek 2024 - 100tis
</t>
        </r>
      </text>
    </comment>
    <comment ref="DA29" authorId="3" shapeId="0" xr:uid="{DAC59FBD-B748-4675-AB1D-1D5FF2885DA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z MMR - dětské hřiště</t>
      </text>
    </comment>
    <comment ref="CR31" authorId="1" shapeId="0" xr:uid="{00000000-0006-0000-0B00-00000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241.888,89 schválená dotace na alej do pískovny - očekávané inkaso do konce března 2023
</t>
        </r>
      </text>
    </comment>
    <comment ref="EK31" authorId="0" shapeId="0" xr:uid="{A32340F0-3D58-4B2B-93BB-EC80A998813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dotace na výstavbu DS</t>
        </r>
      </text>
    </comment>
    <comment ref="Z35" authorId="1" shapeId="0" xr:uid="{00000000-0006-0000-0B00-00000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všechny zemědělské pachty a pronájmy půdy dle smluv</t>
        </r>
      </text>
    </comment>
    <comment ref="AD35" authorId="1" shapeId="0" xr:uid="{00000000-0006-0000-0B00-00000B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všechny zemědělské pachty a pronájmy půdy dle smluv</t>
        </r>
      </text>
    </comment>
    <comment ref="AH35" authorId="1" shapeId="0" xr:uid="{00000000-0006-0000-0B00-00000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všechny zemědělské pachty a pronájmy půdy dle smluv</t>
        </r>
      </text>
    </comment>
    <comment ref="BO35" authorId="1" shapeId="0" xr:uid="{00000000-0006-0000-0B00-00000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zemědělské pachty</t>
        </r>
      </text>
    </comment>
    <comment ref="DU35" authorId="0" shapeId="0" xr:uid="{8324BF84-B23A-4BBA-B975-32EBF7E4968E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zemědělské pachty vč.DPH</t>
        </r>
      </text>
    </comment>
    <comment ref="DU38" authorId="0" shapeId="0" xr:uid="{892FC744-A508-47A0-87A5-9FFAFBFD884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výnos z úhrady dle báňského úřadu</t>
        </r>
      </text>
    </comment>
    <comment ref="EG38" authorId="0" shapeId="0" xr:uid="{3C9ED9DF-4952-4B4F-A4CF-EEEB5ACF80C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výnos, co posílá báňský úřad</t>
        </r>
      </text>
    </comment>
    <comment ref="DU39" authorId="0" shapeId="0" xr:uid="{63F3D6AD-FF75-4C63-AD9A-CED8A5612A6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pachtovné za 44t písku z pískovny
</t>
        </r>
      </text>
    </comment>
    <comment ref="EG39" authorId="0" shapeId="0" xr:uid="{53DCDBFF-3847-478B-82B3-BFB0AEAECF7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pachtovné za vytěžené tuny</t>
        </r>
      </text>
    </comment>
    <comment ref="EK39" authorId="0" shapeId="0" xr:uid="{0A64C3DD-B23B-4829-B9FA-9F818E4C2BC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započten infl.koeficient ze smlouvy</t>
        </r>
      </text>
    </comment>
    <comment ref="DZ46" authorId="0" shapeId="0" xr:uid="{972AD1CB-18B9-470F-B2C0-ED1CA00F233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vyúčtování plynu knihovna</t>
        </r>
      </text>
    </comment>
    <comment ref="EK46" authorId="0" shapeId="0" xr:uid="{95309E08-DD83-4298-8493-6C2C36E4949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přeplatky energií</t>
        </r>
      </text>
    </comment>
    <comment ref="DS49" authorId="0" shapeId="0" xr:uid="{E3C4A985-8547-4E8E-8BD8-80C8A35F2C9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FA za naše práce na dětském hřišti
</t>
        </r>
      </text>
    </comment>
    <comment ref="EI51" authorId="0" shapeId="0" xr:uid="{9D7A63FE-5773-4861-804E-084DFB1E47D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SOKOL pronájem herny</t>
        </r>
      </text>
    </comment>
    <comment ref="EK51" authorId="0" shapeId="0" xr:uid="{D1C55C97-3BFC-4C0C-8FCC-AA33DB8AC35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SOKOL pronájem herny</t>
        </r>
      </text>
    </comment>
    <comment ref="DZ52" authorId="0" shapeId="0" xr:uid="{0CD8A636-27DC-44A5-A038-9CC7883B8AF2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vyúčtování plynu SOKOL</t>
        </r>
      </text>
    </comment>
    <comment ref="EI52" authorId="0" shapeId="0" xr:uid="{9F107611-391F-4946-9CFA-F23D231B7A7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přeplatek energie</t>
        </r>
      </text>
    </comment>
    <comment ref="EK52" authorId="0" shapeId="0" xr:uid="{5117D995-28B4-4A79-801B-55B048385392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přeplatky energií</t>
        </r>
      </text>
    </comment>
    <comment ref="EK54" authorId="0" shapeId="0" xr:uid="{CA47DEC6-3117-4EEA-B10A-BA4A74C5B3B4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žadatelé o změnu územního plánu zapaltí spoelčně komplet náklady na tuto zmenu - provázáno s výdajem 3636/5169</t>
        </r>
      </text>
    </comment>
    <comment ref="BO57" authorId="1" shapeId="0" xr:uid="{00000000-0006-0000-0B00-00000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83.111,- podíly účastníků Z5 na nákladech  (Gp + katastr)
</t>
        </r>
      </text>
    </comment>
    <comment ref="DU61" authorId="0" shapeId="0" xr:uid="{47006233-7607-4FFB-A5BB-8F7ADB48D98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EKO-KOM</t>
        </r>
      </text>
    </comment>
    <comment ref="EI61" authorId="0" shapeId="0" xr:uid="{F11A1C15-3DB9-4354-8D76-3FE09567965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EKO-KOM
</t>
        </r>
      </text>
    </comment>
    <comment ref="EK61" authorId="0" shapeId="0" xr:uid="{07FF9CA9-A1F3-4003-A3BD-FBD7A1F28C0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EKO-KOM</t>
        </r>
      </text>
    </comment>
    <comment ref="BO66" authorId="1" shapeId="0" xr:uid="{00000000-0006-0000-0B00-00000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150.000,- odhadovaný výnos z prodeje traktoru</t>
        </r>
      </text>
    </comment>
    <comment ref="CR66" authorId="1" shapeId="0" xr:uid="{00000000-0006-0000-0B00-00001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prodej traktoru VEGA</t>
        </r>
      </text>
    </comment>
    <comment ref="EK66" authorId="0" shapeId="0" xr:uid="{EE638642-7D5A-4775-9ACB-D87A8F2BD20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prodej nadbytečné zahradní techniky</t>
        </r>
      </text>
    </comment>
    <comment ref="DS67" authorId="0" shapeId="0" xr:uid="{5C83D105-AEEA-4DDA-BD23-84433949BF5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vratka pojistného za prodaný traktor</t>
        </r>
      </text>
    </comment>
    <comment ref="DU73" authorId="0" shapeId="0" xr:uid="{3D2492DE-C0D5-40A7-A73B-F36B98665FA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pronájem hasičárny a obecního sálu</t>
        </r>
      </text>
    </comment>
    <comment ref="DZ77" authorId="0" shapeId="0" xr:uid="{336B0543-47C2-4A0E-925A-32D52375EC4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vyúčtování plyu Hasičárna</t>
        </r>
      </text>
    </comment>
    <comment ref="DU79" authorId="0" shapeId="0" xr:uid="{C0406749-8612-449F-B9F2-E6E5025E922E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komerční vysílání rozhlasu pro kopírování dokumentů</t>
        </r>
      </text>
    </comment>
    <comment ref="DS80" authorId="0" shapeId="0" xr:uid="{22C3CB4F-E442-461F-9146-01734F9AB72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prodej popelnice</t>
        </r>
      </text>
    </comment>
    <comment ref="DU81" authorId="0" shapeId="0" xr:uid="{2CCAA648-29E6-4342-A340-2E688A12A79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úhrady věcných břemen</t>
        </r>
      </text>
    </comment>
    <comment ref="Z82" authorId="1" shapeId="0" xr:uid="{00000000-0006-0000-0B00-00001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nezemědělské pronájmy (kiosek)
</t>
        </r>
      </text>
    </comment>
    <comment ref="AD82" authorId="1" shapeId="0" xr:uid="{00000000-0006-0000-0B00-00001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nezemědělské pronájmy (kiosek)
</t>
        </r>
      </text>
    </comment>
    <comment ref="AH82" authorId="1" shapeId="0" xr:uid="{00000000-0006-0000-0B00-00001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nezemědělské pronájmy (kiosek)
</t>
        </r>
      </text>
    </comment>
    <comment ref="BO82" authorId="1" shapeId="0" xr:uid="{00000000-0006-0000-0B00-00001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nezemědělské pronájmy
+kiosek</t>
        </r>
      </text>
    </comment>
    <comment ref="DU82" authorId="0" shapeId="0" xr:uid="{D71F03A6-814C-485E-B055-3F323A1403B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nájem části pozemku Ing.Černý</t>
        </r>
      </text>
    </comment>
    <comment ref="BO83" authorId="1" shapeId="0" xr:uid="{00000000-0006-0000-0B00-00001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pronájem pískovny + sály
SOKOL</t>
        </r>
      </text>
    </comment>
    <comment ref="DU83" authorId="0" shapeId="0" xr:uid="{7CBAB0F9-F6ED-400A-95B2-F4EFC8827ED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pr0nájem ping-pong herny Sokolům, zkušebny J.Kvapil a posilovny
</t>
        </r>
      </text>
    </comment>
    <comment ref="DU84" authorId="0" shapeId="0" xr:uid="{5FA41AFF-97AC-46D5-A5F7-C6BD37A3607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pronájem obecní techniky</t>
        </r>
      </text>
    </comment>
    <comment ref="DZ86" authorId="0" shapeId="0" xr:uid="{FB45FE63-3FB0-4C1C-B016-53E8C357F96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vyúčtování plynu OÚ</t>
        </r>
      </text>
    </comment>
    <comment ref="EK86" authorId="0" shapeId="0" xr:uid="{6D6C8713-BAA1-4700-A6B9-A15631ED9B7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přeplatky energií</t>
        </r>
      </text>
    </comment>
    <comment ref="BO87" authorId="1" shapeId="0" xr:uid="{00000000-0006-0000-0B00-00001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narovnávání hranic pozemků</t>
        </r>
      </text>
    </comment>
    <comment ref="CR87" authorId="1" shapeId="0" xr:uid="{00000000-0006-0000-0B00-00001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narovnávání hranic pozermků</t>
        </r>
      </text>
    </comment>
    <comment ref="DU87" authorId="0" shapeId="0" xr:uid="{6F9FD20B-BF29-45BC-ACA5-32EFDE2FE75D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nezemědělské se počítají bez DPH</t>
        </r>
      </text>
    </comment>
    <comment ref="EF87" authorId="0" shapeId="0" xr:uid="{826E0716-8597-4E69-B117-B8953BA80AB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Loderovi - 81.474,- parc.č. 834/8 a 1059
</t>
        </r>
      </text>
    </comment>
    <comment ref="EK87" authorId="0" shapeId="0" xr:uid="{4ABD7A2B-14A1-45F3-BA5A-FA2FD5C51AE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Loderovi - 81.474,- parc.č. 834/8 a 1059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Obec Ondratice</author>
    <author>Bob Koštanský</author>
    <author>tc={BC6A9948-9CA0-4F4F-BBB7-163E0CC5C10F}</author>
    <author>Ondratice</author>
  </authors>
  <commentList>
    <comment ref="C8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myslivci</t>
        </r>
      </text>
    </comment>
    <comment ref="EY9" authorId="1" shapeId="0" xr:uid="{D4142BF0-39CE-414D-B629-D36474420E3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DSO projekt místní obnovitelné koncepce</t>
        </r>
      </text>
    </comment>
    <comment ref="AK12" authorId="0" shapeId="0" xr:uid="{00000000-0006-0000-0C00-00000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pasport komunikací</t>
        </r>
      </text>
    </comment>
    <comment ref="DC12" authorId="0" shapeId="0" xr:uid="{00000000-0006-0000-0C00-00000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oprava povrchů cest</t>
        </r>
      </text>
    </comment>
    <comment ref="C13" authorId="0" shapeId="0" xr:uid="{00000000-0006-0000-0C00-00000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Most M01 Chaloupky</t>
        </r>
      </text>
    </comment>
    <comment ref="AK13" authorId="0" shapeId="0" xr:uid="{00000000-0006-0000-0C00-00000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mostní provizorium (pořízní + nájem od 1.5.)
</t>
        </r>
      </text>
    </comment>
    <comment ref="BE13" authorId="0" shapeId="0" xr:uid="{00000000-0006-0000-0C00-00000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550.000,- na opravu cesty ke křížku + 50.000,- oprava výtluků cesty ke křížku
</t>
        </r>
      </text>
    </comment>
    <comment ref="BH13" authorId="0" shapeId="0" xr:uid="{00000000-0006-0000-0C00-00000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550.000,- na opravu cesty ke křížku + 50.000,- oprava výtluků cesty ke křížku
</t>
        </r>
      </text>
    </comment>
    <comment ref="BM13" authorId="0" shapeId="0" xr:uid="{00000000-0006-0000-0C00-00000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30.000.- oprava výtluků
100.000,- srážka na konci Kozizólu + zatrubnění
</t>
        </r>
      </text>
    </comment>
    <comment ref="EK13" authorId="1" shapeId="0" xr:uid="{7373AF9F-AAF2-42B5-A4B8-1BA7132BD71D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opravy výtlluků + srážka na cestě do Kozizólu
vč.posyp materiálu na zimu</t>
        </r>
      </text>
    </comment>
    <comment ref="FV13" authorId="1" shapeId="0" xr:uid="{41722BA3-524F-44BA-8698-281B99B9B7B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opravy výtlluků + srážka na cestě do Kozizólu
vč.posyp materiálu na zimu</t>
        </r>
      </text>
    </comment>
    <comment ref="FY13" authorId="1" shapeId="0" xr:uid="{A67DFF38-E4C2-4717-9A68-5A8309C123D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odhad odvodnění křižovatky u křížku</t>
        </r>
      </text>
    </comment>
    <comment ref="C14" authorId="0" shapeId="0" xr:uid="{00000000-0006-0000-0C00-00000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Most MO1 Chaloupky</t>
        </r>
      </text>
    </comment>
    <comment ref="L14" authorId="0" shapeId="0" xr:uid="{00000000-0006-0000-0C00-00000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projekt opravy MostuChaloupky</t>
        </r>
      </text>
    </comment>
    <comment ref="AK14" authorId="0" shapeId="0" xr:uid="{00000000-0006-0000-0C00-00000B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Hofman - PD M01</t>
        </r>
      </text>
    </comment>
    <comment ref="BM14" authorId="0" shapeId="0" xr:uid="{00000000-0006-0000-0C00-00000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114.460,-  PD oprava mostku NELL projekt</t>
        </r>
      </text>
    </comment>
    <comment ref="DC18" authorId="0" shapeId="0" xr:uid="{00000000-0006-0000-0C00-00000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PD Most Chaloupky</t>
        </r>
      </text>
    </comment>
    <comment ref="EK18" authorId="1" shapeId="0" xr:uid="{533F6146-CE82-4B31-82D6-7073A830FE4E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PD mostek Chaloupky</t>
        </r>
      </text>
    </comment>
    <comment ref="FV18" authorId="1" shapeId="0" xr:uid="{4A51E987-02A1-4402-8CE4-ED99552591F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PD oprava Mostku Chaloupky
</t>
        </r>
      </text>
    </comment>
    <comment ref="L20" authorId="0" shapeId="0" xr:uid="{00000000-0006-0000-0C00-00000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revitalizace centra 2.etapa
zatím jen projekt - vlastní realizace pouze z dotace</t>
        </r>
      </text>
    </comment>
    <comment ref="AK20" authorId="0" shapeId="0" xr:uid="{00000000-0006-0000-0C00-00000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10.900,- zpracování výběrového řízení na dodavatele opravy chodníků</t>
        </r>
      </text>
    </comment>
    <comment ref="AK26" authorId="0" shapeId="0" xr:uid="{00000000-0006-0000-0C00-00001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dopravní značka ke kruháči</t>
        </r>
      </text>
    </comment>
    <comment ref="EK26" authorId="1" shapeId="0" xr:uid="{71A7160E-72EE-446A-A111-920097D0633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8x značka zona 30 + příslušenství
</t>
        </r>
      </text>
    </comment>
    <comment ref="FV26" authorId="1" shapeId="0" xr:uid="{D3ED832C-D2F8-4FE5-AFBD-A4A8CC0DA72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8x značka zona 30 + příslušenství
</t>
        </r>
      </text>
    </comment>
    <comment ref="L40" authorId="0" shapeId="0" xr:uid="{00000000-0006-0000-0C00-00001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závisí na rozhodnutí SKČOV  -  budme prosazovat stejné peníze jako v 2019
</t>
        </r>
      </text>
    </comment>
    <comment ref="AA45" authorId="0" shapeId="0" xr:uid="{00000000-0006-0000-0C00-00001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2 děti po 6.000,-</t>
        </r>
      </text>
    </comment>
    <comment ref="AE45" authorId="0" shapeId="0" xr:uid="{00000000-0006-0000-0C00-00001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2 děti po 6.000,-</t>
        </r>
      </text>
    </comment>
    <comment ref="AK45" authorId="0" shapeId="0" xr:uid="{00000000-0006-0000-0C00-00001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rezerva na 2 děti po 6.000,-</t>
        </r>
      </text>
    </comment>
    <comment ref="FV46" authorId="1" shapeId="0" xr:uid="{3016EF28-DDB7-4FBC-9042-1E56C0773488}">
      <text>
        <r>
          <rPr>
            <b/>
            <sz val="11"/>
            <color indexed="81"/>
            <rFont val="Tahoma"/>
            <charset val="1"/>
          </rPr>
          <t>Bob Koštanský:</t>
        </r>
        <r>
          <rPr>
            <sz val="11"/>
            <color indexed="81"/>
            <rFont val="Tahoma"/>
            <charset val="1"/>
          </rPr>
          <t xml:space="preserve">
úroky z čerpáného úvěru na výstavbu DS</t>
        </r>
      </text>
    </comment>
    <comment ref="FY46" authorId="1" shapeId="0" xr:uid="{70D3A784-A35A-4BF1-9604-10DB8ABE3E22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horní odhad úroků z úvěru na DS</t>
        </r>
      </text>
    </comment>
    <comment ref="EK47" authorId="1" shapeId="0" xr:uid="{ED2797F0-B611-4CA2-A03D-94C4B14F69AD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výstavba objektru Dětské skupiny
169.400,- studie
888.140,- PD + administrace dotace  bude přidáno, až bude ve smlouvě klauzule o dotaci - splou s podpisem SoD schválit i RO
</t>
        </r>
      </text>
    </comment>
    <comment ref="FE47" authorId="1" shapeId="0" xr:uid="{D2D8767B-B694-4C1A-94E0-5D97D85F5CD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10.000,- vrátíme v RO</t>
        </r>
      </text>
    </comment>
    <comment ref="FH47" authorId="1" shapeId="0" xr:uid="{1718D4CB-6B90-4C65-8ABE-43A78BDAB3A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40.000,- vrátíme v RO</t>
        </r>
      </text>
    </comment>
    <comment ref="FK47" authorId="1" shapeId="0" xr:uid="{531AB972-F1CF-41F7-8EF5-7D22D727CF83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58.080 vč.SPH - odměna za vysoutěženého dodavatele</t>
        </r>
      </text>
    </comment>
    <comment ref="FV47" authorId="1" shapeId="0" xr:uid="{F6F8FD8F-50CD-4191-A5DA-3B1F5AF8BEA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dle smlouvy o výstavbě s STAVBROS  15 487 633,68 + 460tis odměna agentuře</t>
        </r>
      </text>
    </comment>
    <comment ref="FY47" authorId="1" shapeId="0" xr:uid="{64C91E96-E86C-443E-B4D3-727B2FFAE474}">
      <text>
        <r>
          <rPr>
            <b/>
            <sz val="11"/>
            <color indexed="81"/>
            <rFont val="Tahoma"/>
            <charset val="1"/>
          </rPr>
          <t>Bob Koštanský:</t>
        </r>
        <r>
          <rPr>
            <sz val="11"/>
            <color indexed="81"/>
            <rFont val="Tahoma"/>
            <charset val="1"/>
          </rPr>
          <t xml:space="preserve">
výstavba a vybavení DS (20mio) + odměna agentuře za vyřízení a administraci dotace 460 tis</t>
        </r>
      </text>
    </comment>
    <comment ref="BM51" authorId="0" shapeId="0" xr:uid="{00000000-0006-0000-0C00-00001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roční přípsěvek na mladýho Tesárka</t>
        </r>
      </text>
    </comment>
    <comment ref="DC51" authorId="0" shapeId="0" xr:uid="{00000000-0006-0000-0C00-00001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příspěvek Tesárek</t>
        </r>
      </text>
    </comment>
    <comment ref="FV51" authorId="1" shapeId="0" xr:uid="{CB254630-3CF7-43F7-A294-B138D918958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příspěvek na ml.Tesárka</t>
        </r>
      </text>
    </comment>
    <comment ref="H56" authorId="0" shapeId="0" xr:uid="{00000000-0006-0000-0C00-00001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kronikářka</t>
        </r>
      </text>
    </comment>
    <comment ref="BM56" authorId="0" shapeId="0" xr:uid="{00000000-0006-0000-0C00-00001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kronika</t>
        </r>
      </text>
    </comment>
    <comment ref="H57" authorId="0" shapeId="0" xr:uid="{00000000-0006-0000-0C00-00001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doplatek za knihu Prostějovsko z nebe - akce L.Černýho</t>
        </r>
      </text>
    </comment>
    <comment ref="L60" authorId="0" shapeId="0" xr:uid="{00000000-0006-0000-0C00-00001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zájezd</t>
        </r>
      </text>
    </comment>
    <comment ref="S60" authorId="0" shapeId="0" xr:uid="{00000000-0006-0000-0C00-00001B000000}">
      <text>
        <r>
          <rPr>
            <b/>
            <sz val="9"/>
            <color indexed="81"/>
            <rFont val="Tahoma"/>
            <family val="2"/>
            <charset val="238"/>
          </rPr>
          <t xml:space="preserve">Obec Ondratice:
</t>
        </r>
        <r>
          <rPr>
            <sz val="9"/>
            <color indexed="81"/>
            <rFont val="Tahoma"/>
            <family val="2"/>
            <charset val="238"/>
          </rPr>
          <t>zájezd zrušen</t>
        </r>
      </text>
    </comment>
    <comment ref="Y60" authorId="0" shapeId="0" xr:uid="{00000000-0006-0000-0C00-00001C000000}">
      <text>
        <r>
          <rPr>
            <b/>
            <sz val="9"/>
            <color indexed="81"/>
            <rFont val="Tahoma"/>
            <family val="2"/>
            <charset val="238"/>
          </rPr>
          <t xml:space="preserve">Obec Ondratice:
</t>
        </r>
        <r>
          <rPr>
            <sz val="9"/>
            <color indexed="81"/>
            <rFont val="Tahoma"/>
            <family val="2"/>
            <charset val="238"/>
          </rPr>
          <t>zájezd zrušen</t>
        </r>
      </text>
    </comment>
    <comment ref="BM60" authorId="0" shapeId="0" xr:uid="{00000000-0006-0000-0C00-00001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zájezd
</t>
        </r>
      </text>
    </comment>
    <comment ref="EK60" authorId="1" shapeId="0" xr:uid="{70871AC3-DD27-4196-9DBA-42DA46586C5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hudba na ples a ke dni matek</t>
        </r>
      </text>
    </comment>
    <comment ref="FV60" authorId="1" shapeId="0" xr:uid="{85A482E7-B33D-46C4-96D3-3A7AF74BA93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hudba na ples a ke dni matek</t>
        </r>
      </text>
    </comment>
    <comment ref="DH63" authorId="0" shapeId="0" xr:uid="{00000000-0006-0000-0C00-00001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loutkové divadlo PRONITKA</t>
        </r>
      </text>
    </comment>
    <comment ref="Y64" authorId="0" shapeId="0" xr:uid="{00000000-0006-0000-0C00-00001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7x občánek a 5.000
</t>
        </r>
      </text>
    </comment>
    <comment ref="BM64" authorId="0" shapeId="0" xr:uid="{00000000-0006-0000-0C00-00002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novorozeňata:
Dáda Adamíková,
Látalovi, Vrchovi</t>
        </r>
      </text>
    </comment>
    <comment ref="EK64" authorId="1" shapeId="0" xr:uid="{0ACA099D-6C96-42B6-BC2A-BBE8615F99A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občánci + prvňáci + výročí</t>
        </r>
      </text>
    </comment>
    <comment ref="FV64" authorId="1" shapeId="0" xr:uid="{B963E8C3-1A11-4246-9011-BE1E486A795E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občánci + prvňáci + výročí</t>
        </r>
      </text>
    </comment>
    <comment ref="EK70" authorId="1" shapeId="0" xr:uid="{BE489141-BDBF-444D-8F82-A744A2BEC49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knihovna + kronika</t>
        </r>
      </text>
    </comment>
    <comment ref="B76" authorId="0" shapeId="0" xr:uid="{00000000-0006-0000-0C00-00002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nově vloženo 2.3.2020
</t>
        </r>
      </text>
    </comment>
    <comment ref="AK78" authorId="0" shapeId="0" xr:uid="{00000000-0006-0000-0C00-00002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výměna radiátoru</t>
        </r>
      </text>
    </comment>
    <comment ref="DZ83" authorId="1" shapeId="0" xr:uid="{877C18A4-5C06-4359-8327-E6EF2FD2DCC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oprava křížku u zvonice</t>
        </r>
      </text>
    </comment>
    <comment ref="EK88" authorId="1" shapeId="0" xr:uid="{E7FCFDFF-59CE-4ADA-8A8A-C0E35E02479D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 měsíc práce D.Magdziaka na výstavbě nové boudy</t>
        </r>
      </text>
    </comment>
    <comment ref="EK89" authorId="1" shapeId="0" xr:uid="{A3CFABCA-91D9-47CE-A8E4-649C1FE23A0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práce na dohodu na výstavbě nové bouddy</t>
        </r>
      </text>
    </comment>
    <comment ref="DH92" authorId="0" shapeId="0" xr:uid="{00000000-0006-0000-0C00-00002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čerpadlo ESYBOX - douda u hřiště - posílení tlaku vody - nádrž pro trénink dětského družstva</t>
        </r>
      </text>
    </comment>
    <comment ref="Y93" authorId="0" shapeId="0" xr:uid="{00000000-0006-0000-0C00-00002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5.000,- n vnitřní vybavení těloscivčny (žíněnky) kostky)</t>
        </r>
      </text>
    </comment>
    <comment ref="BZ93" authorId="0" shapeId="0" xr:uid="{00000000-0006-0000-0C00-00002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chemie nádrž, fólie a štěpka na herní kout u koupaliště
</t>
        </r>
      </text>
    </comment>
    <comment ref="EK93" authorId="1" shapeId="0" xr:uid="{CA9C4B23-19CE-4737-9619-DFA32F5F24D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chemie do nádrže</t>
        </r>
      </text>
    </comment>
    <comment ref="C94" authorId="0" shapeId="0" xr:uid="{00000000-0006-0000-0C00-00002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včetně napuštění nádrže</t>
        </r>
      </text>
    </comment>
    <comment ref="EK94" authorId="1" shapeId="0" xr:uid="{42946A69-3B08-4CC7-B31E-D5FE379FEA4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voda do nádrže</t>
        </r>
      </text>
    </comment>
    <comment ref="BZ96" authorId="0" shapeId="0" xr:uid="{00000000-0006-0000-0C00-00002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úpravy terénu  - herní kout u nádrže</t>
        </r>
      </text>
    </comment>
    <comment ref="DC97" authorId="0" shapeId="0" xr:uid="{00000000-0006-0000-0C00-00002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oprava zázemí horní hřiště (lavičky, stoly, bouda , pódium)</t>
        </r>
      </text>
    </comment>
    <comment ref="EK97" authorId="1" shapeId="0" xr:uid="{D6979500-2CD0-4EBB-8ADC-7087A424344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materiál a dodavatelské práce na opravy horního hřiště</t>
        </r>
      </text>
    </comment>
    <comment ref="FK97" authorId="1" shapeId="0" xr:uid="{A919F0FB-3B22-4174-BBFE-B30354E9BF57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zbývá koupit beton směs - cca 4.000,- a svépomocí zabetonovat sloupy na síŤ za branky</t>
        </r>
      </text>
    </comment>
    <comment ref="FV97" authorId="1" shapeId="0" xr:uid="{6AE230FD-5C91-4160-9476-A66045ED6C4F}">
      <text>
        <r>
          <rPr>
            <b/>
            <sz val="11"/>
            <color indexed="81"/>
            <rFont val="Tahoma"/>
            <charset val="1"/>
          </rPr>
          <t>Bob Koštanský:</t>
        </r>
        <r>
          <rPr>
            <sz val="11"/>
            <color indexed="81"/>
            <rFont val="Tahoma"/>
            <charset val="1"/>
          </rPr>
          <t xml:space="preserve">
údržba hřišť+ štěpka na dětské hřiště
</t>
        </r>
      </text>
    </comment>
    <comment ref="DK98" authorId="2" shapeId="0" xr:uid="{BC6A9948-9CA0-4F4F-BBB7-163E0CC5C10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Pořízení nového hřiště HRAS
</t>
      </text>
    </comment>
    <comment ref="EK98" authorId="1" shapeId="0" xr:uid="{0DC1F98C-6462-4C87-A40E-C366FCCE4D1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nová bouda: materiál + práce + instalace el a voda/odpad
7.300 - vyhodnocení dotace na dětské hřiště</t>
        </r>
      </text>
    </comment>
    <comment ref="FK98" authorId="1" shapeId="0" xr:uid="{F2A62C8F-80B9-41AA-AAB0-DB8AD54DC88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70.000.- očekávaná FA za elektro
5.000.- vodomateriál
Dohady prací na jaře 2025:
10.000,- instalace vodo
15.000,- nákup mateiálu a instalace pultů</t>
        </r>
      </text>
    </comment>
    <comment ref="FV98" authorId="1" shapeId="0" xr:uid="{90266B0B-C5E8-4495-8F61-AEDE8C3ABB4A}">
      <text>
        <r>
          <rPr>
            <b/>
            <sz val="11"/>
            <color indexed="81"/>
            <rFont val="Tahoma"/>
            <charset val="1"/>
          </rPr>
          <t>Bob Koštanský:</t>
        </r>
        <r>
          <rPr>
            <sz val="11"/>
            <color indexed="81"/>
            <rFont val="Tahoma"/>
            <charset val="1"/>
          </rPr>
          <t xml:space="preserve">
dokončení boudy na horním hřišti - pulty, zprovoznění vody </t>
        </r>
      </text>
    </comment>
    <comment ref="DC99" authorId="0" shapeId="0" xr:uid="{00000000-0006-0000-0C00-00002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obnova části dolního dětského hřiště za podmínky získání dotace z OL kraje ve výši 50%
</t>
        </r>
      </text>
    </comment>
    <comment ref="DK99" authorId="1" shapeId="0" xr:uid="{FCBB1C80-60D7-471A-87ED-4E12153C2FA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pořizujeme z dotace MMR - přesunuto na položku 6121
</t>
        </r>
      </text>
    </comment>
    <comment ref="C101" authorId="0" shapeId="0" xr:uid="{00000000-0006-0000-0C00-00002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Horní hřiště a tělocvična čp.31
</t>
        </r>
      </text>
    </comment>
    <comment ref="FB109" authorId="1" shapeId="0" xr:uid="{552ED05D-9ACF-45DF-8E30-5FF849E7E2C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oprava rozvaděče + výměna zářivkových trubic</t>
        </r>
      </text>
    </comment>
    <comment ref="FK109" authorId="1" shapeId="0" xr:uid="{2010C515-0538-490D-BE1C-6394126949A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cca 9.000,- výměna LED trubic v zářivkách
zbytek rezerva</t>
        </r>
      </text>
    </comment>
    <comment ref="C115" authorId="0" shapeId="0" xr:uid="{00000000-0006-0000-0C00-00002B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SOKOL</t>
        </r>
      </text>
    </comment>
    <comment ref="V118" authorId="0" shapeId="0" xr:uid="{00000000-0006-0000-0C00-00002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položkový rozpočet(Říha)
</t>
        </r>
      </text>
    </comment>
    <comment ref="C120" authorId="0" shapeId="0" xr:uid="{00000000-0006-0000-0C00-00002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nástavba nad obchod
</t>
        </r>
      </text>
    </comment>
    <comment ref="V122" authorId="0" shapeId="0" xr:uid="{00000000-0006-0000-0C00-00002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vymalování WC + sál</t>
        </r>
      </text>
    </comment>
    <comment ref="AA123" authorId="0" shapeId="0" xr:uid="{00000000-0006-0000-0C00-00002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žaluzie zasedačka
</t>
        </r>
      </text>
    </comment>
    <comment ref="AE123" authorId="0" shapeId="0" xr:uid="{00000000-0006-0000-0C00-00003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žaluzie zasedačka
</t>
        </r>
      </text>
    </comment>
    <comment ref="DC125" authorId="0" shapeId="0" xr:uid="{00000000-0006-0000-0C00-00003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smlouva ARTENDR:
PD + získání dotace akunádrže</t>
        </r>
      </text>
    </comment>
    <comment ref="L126" authorId="0" shapeId="0" xr:uid="{00000000-0006-0000-0C00-00003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zasedačka v č.p.31, fasáda č.p.15 , střecha a schody zvoničky</t>
        </r>
      </text>
    </comment>
    <comment ref="S126" authorId="0" shapeId="0" xr:uid="{00000000-0006-0000-0C00-00003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dopočítat na náklady na fasádu č.p.15</t>
        </r>
      </text>
    </comment>
    <comment ref="X126" authorId="0" shapeId="0" xr:uid="{00000000-0006-0000-0C00-00003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orpava rozhlasu 6171/5171
</t>
        </r>
      </text>
    </comment>
    <comment ref="AK126" authorId="0" shapeId="0" xr:uid="{00000000-0006-0000-0C00-00003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70.180 - odmena ARTENDR za dotaci na opravu střechy
35.000,- odvlhčení přízemí č.p.31
 + rezerva- pak sem příjde náklad na opravu střechy cca 1.3mio
</t>
        </r>
      </text>
    </comment>
    <comment ref="BM126" authorId="0" shapeId="0" xr:uid="{00000000-0006-0000-0C00-00003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1.617.029 - oprava střechy č.p.31
náklady na Artendr: 5 měsíců 12.100,- řízení projektu a 36.300,- závěrečné vyhodnocení</t>
        </r>
      </text>
    </comment>
    <comment ref="EK126" authorId="1" shapeId="0" xr:uid="{3FEED591-7D93-433C-9E4D-54CAE4E6B9F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oprava stěn na obecním sále</t>
        </r>
      </text>
    </comment>
    <comment ref="FV126" authorId="1" shapeId="0" xr:uid="{DDA8BD16-0A7D-426A-A8C4-09644A8849FB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zabudované skříňky do předsálí sálu</t>
        </r>
      </text>
    </comment>
    <comment ref="L127" authorId="0" shapeId="0" xr:uid="{00000000-0006-0000-0C00-00003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wc, akumulační nádrž - č.p.31</t>
        </r>
      </text>
    </comment>
    <comment ref="BM127" authorId="0" shapeId="0" xr:uid="{00000000-0006-0000-0C00-00003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materiál na topení hospoda - tech.zhodnocení</t>
        </r>
      </text>
    </comment>
    <comment ref="DC127" authorId="0" shapeId="0" xr:uid="{00000000-0006-0000-0C00-00003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akumulační nádrž ve dvoře staré školy  -pouze za předpokladu získání dotace ve výši 85%
</t>
        </r>
      </text>
    </comment>
    <comment ref="DD127" authorId="0" shapeId="0" xr:uid="{00000000-0006-0000-0C00-00003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odhad nákladů akumulační nádrž ve dvoře staré školy  -pouze za předpokladu získání dotace ve výši 85%
</t>
        </r>
      </text>
    </comment>
    <comment ref="L132" authorId="0" shapeId="0" xr:uid="{00000000-0006-0000-0C00-00003B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vánoční osvětlení kapličky</t>
        </r>
      </text>
    </comment>
    <comment ref="S132" authorId="0" shapeId="0" xr:uid="{00000000-0006-0000-0C00-00003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osvětlení zvoničky
</t>
        </r>
      </text>
    </comment>
    <comment ref="Y132" authorId="0" shapeId="0" xr:uid="{00000000-0006-0000-0C00-00003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osvětlení zvoničky
</t>
        </r>
      </text>
    </comment>
    <comment ref="AA132" authorId="0" shapeId="0" xr:uid="{00000000-0006-0000-0C00-00003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osvětlení zvoničky</t>
        </r>
      </text>
    </comment>
    <comment ref="AE132" authorId="0" shapeId="0" xr:uid="{00000000-0006-0000-0C00-00003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osvětlení zvoničky</t>
        </r>
      </text>
    </comment>
    <comment ref="BM141" authorId="0" shapeId="0" xr:uid="{00000000-0006-0000-0C00-00004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310.970.- Změna ÚZ  Ciznerová</t>
        </r>
      </text>
    </comment>
    <comment ref="DC141" authorId="0" shapeId="0" xr:uid="{00000000-0006-0000-0C00-00004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dokončení Změny č.1 ÚP</t>
        </r>
      </text>
    </comment>
    <comment ref="DH141" authorId="0" shapeId="0" xr:uid="{00000000-0006-0000-0C00-00004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HG posudek Z22</t>
        </r>
      </text>
    </comment>
    <comment ref="EK141" authorId="0" shapeId="0" xr:uid="{D76BF87C-78B2-4651-9BB0-45C52687D6E4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dokončení Změny č.1 ÚP</t>
        </r>
      </text>
    </comment>
    <comment ref="FV141" authorId="1" shapeId="0" xr:uid="{E43AA4FE-4859-438B-B282-E51A1ACFAFC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závisí na rozhodnutí ZO, zda-li budeme dělat změnu - když tak do příjmů dát stejnou částku</t>
        </r>
      </text>
    </comment>
    <comment ref="BJ144" authorId="0" shapeId="0" xr:uid="{00000000-0006-0000-0C00-00004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geodeti Z5</t>
        </r>
      </text>
    </comment>
    <comment ref="BM144" authorId="0" shapeId="0" xr:uid="{00000000-0006-0000-0C00-00004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práce na PD Z5a  Z4 - sítě a veřejný prostor</t>
        </r>
      </text>
    </comment>
    <comment ref="DC144" authorId="0" shapeId="0" xr:uid="{00000000-0006-0000-0C00-00004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PD Z4/Z5
</t>
        </r>
      </text>
    </comment>
    <comment ref="L145" authorId="0" shapeId="0" xr:uid="{00000000-0006-0000-0C00-00004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projektová dokumentace Z4</t>
        </r>
      </text>
    </comment>
    <comment ref="EK146" authorId="1" shapeId="0" xr:uid="{7FB2D4A5-143C-40BE-AD95-1807945EC05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PD infrastruktury bývalé Z5, v současnosti Z13 pro Z14-16</t>
        </r>
      </text>
    </comment>
    <comment ref="EV146" authorId="1" shapeId="0" xr:uid="{67E8370F-F0CC-4967-B158-4045D67BF77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vrátit 120.000 - až bude stavební povolení</t>
        </r>
      </text>
    </comment>
    <comment ref="FV146" authorId="1" shapeId="0" xr:uid="{F225B488-27A5-41EA-A8C7-6097B6B82664}">
      <text>
        <r>
          <rPr>
            <b/>
            <sz val="11"/>
            <color indexed="81"/>
            <rFont val="Tahoma"/>
            <charset val="1"/>
          </rPr>
          <t>Bob Koštanský:</t>
        </r>
        <r>
          <rPr>
            <sz val="11"/>
            <color indexed="81"/>
            <rFont val="Tahoma"/>
            <charset val="1"/>
          </rPr>
          <t xml:space="preserve">
Z5_Záhumenice_ 121.000 doplatek arch.Doubravovi po nabytí právní moci stavebního povolení
132.300,- druhá část platby EG.D - příspěvek na projekt elektrifikace Z5
</t>
        </r>
      </text>
    </comment>
    <comment ref="BD147" authorId="0" shapeId="0" xr:uid="{00000000-0006-0000-0C00-00004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Z4 úhrada za pozemek státu v rámci směny pozemků pro plochu v Z4</t>
        </r>
      </text>
    </comment>
    <comment ref="EV147" authorId="1" shapeId="0" xr:uid="{31001649-13B0-4554-9347-F9F046D8DBD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GP 33.600,-
EG.D  4x 12.600,-</t>
        </r>
      </text>
    </comment>
    <comment ref="C150" authorId="0" shapeId="0" xr:uid="{00000000-0006-0000-0C00-00004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Z4, Z5</t>
        </r>
      </text>
    </comment>
    <comment ref="FK154" authorId="1" shapeId="0" xr:uid="{58941411-C0C3-4235-B310-2B97E5A4331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čipy na popelnice + čipovací sada</t>
        </r>
      </text>
    </comment>
    <comment ref="DC155" authorId="0" shapeId="0" xr:uid="{00000000-0006-0000-0C00-00004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SKO Respono + BRKO kompostárna</t>
        </r>
      </text>
    </comment>
    <comment ref="EK155" authorId="1" shapeId="0" xr:uid="{7E5F814D-13D0-431E-81D7-98EF2ED373CD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RESPONO + kompostárna
</t>
        </r>
      </text>
    </comment>
    <comment ref="FK155" authorId="1" shapeId="0" xr:uid="{7C14D050-7296-4BF8-8C37-48BF5AE64B0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instalace čipů</t>
        </r>
      </text>
    </comment>
    <comment ref="FV155" authorId="1" shapeId="0" xr:uid="{D6F28A71-C7B2-4B50-B19B-0942B7643B7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RESPONO + kompostárna
</t>
        </r>
      </text>
    </comment>
    <comment ref="C158" authorId="0" shapeId="0" xr:uid="{00000000-0006-0000-0C00-00004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SD Otaslavice</t>
        </r>
      </text>
    </comment>
    <comment ref="AA158" authorId="0" shapeId="0" xr:uid="{00000000-0006-0000-0C00-00004B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SD Otaslavice</t>
        </r>
      </text>
    </comment>
    <comment ref="AE158" authorId="0" shapeId="0" xr:uid="{00000000-0006-0000-0C00-00004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SD Otaslavice</t>
        </r>
      </text>
    </comment>
    <comment ref="BM158" authorId="0" shapeId="0" xr:uid="{00000000-0006-0000-0C00-00004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SD Otaslavice</t>
        </r>
      </text>
    </comment>
    <comment ref="DC158" authorId="0" shapeId="0" xr:uid="{00000000-0006-0000-0C00-00004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Sběrný dvůr Otaslavice</t>
        </r>
      </text>
    </comment>
    <comment ref="EK158" authorId="1" shapeId="0" xr:uid="{8891F81A-8C71-4E56-8501-D78B6625389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SD Otaslavice
</t>
        </r>
      </text>
    </comment>
    <comment ref="FV158" authorId="1" shapeId="0" xr:uid="{085C1665-2E84-4821-85EE-BBE0F7F338B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SD Otaslavice
</t>
        </r>
      </text>
    </comment>
    <comment ref="L159" authorId="0" shapeId="0" xr:uid="{00000000-0006-0000-0C00-00004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4ks kontejnery na bio</t>
        </r>
      </text>
    </comment>
    <comment ref="S159" authorId="0" shapeId="0" xr:uid="{00000000-0006-0000-0C00-00005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kontejnery mebudou - žádost o dotaci neuspěla
</t>
        </r>
      </text>
    </comment>
    <comment ref="Y159" authorId="0" shapeId="0" xr:uid="{00000000-0006-0000-0C00-00005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kontejnery nebudou - žádost o dotaci neuspěla
</t>
        </r>
      </text>
    </comment>
    <comment ref="AK159" authorId="0" shapeId="0" xr:uid="{00000000-0006-0000-0C00-00005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3x kontejner BIO  čistý náklad obce po započtení dotace cca 8tis/kus
</t>
        </r>
      </text>
    </comment>
    <comment ref="BM164" authorId="0" shapeId="0" xr:uid="{00000000-0006-0000-0C00-00005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Karel +VPP  =(12*19000+10000)+(12*16200)</t>
        </r>
      </text>
    </comment>
    <comment ref="EK164" authorId="1" shapeId="0" xr:uid="{4B85A5B6-68CB-4596-A549-22116482A66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 případě VPP bdue navýšeno</t>
        </r>
      </text>
    </comment>
    <comment ref="EP164" authorId="1" shapeId="0" xr:uid="{D763F8C9-B902-4960-A7E7-279C8976088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Suchánková - projekt NOE</t>
        </r>
      </text>
    </comment>
    <comment ref="BM165" authorId="0" shapeId="0" xr:uid="{00000000-0006-0000-0C00-00005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brigádníci</t>
        </r>
      </text>
    </comment>
    <comment ref="S171" authorId="0" shapeId="0" xr:uid="{00000000-0006-0000-0C00-00005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zatím čerpání nula - co tam patří, co je ještě nezbytně nutné pořídit
</t>
        </r>
      </text>
    </comment>
    <comment ref="BM171" authorId="0" shapeId="0" xr:uid="{00000000-0006-0000-0C00-00005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kolíbková pila: 11.028
lavička ke křížku 6.000,-
</t>
        </r>
      </text>
    </comment>
    <comment ref="DC171" authorId="0" shapeId="0" xr:uid="{00000000-0006-0000-0C00-00005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lavičky, koše - alej do pískovny  -+ koš u křížku</t>
        </r>
      </text>
    </comment>
    <comment ref="DC173" authorId="0" shapeId="0" xr:uid="{00000000-0006-0000-0C00-00005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úroky traktor KIOTI</t>
        </r>
      </text>
    </comment>
    <comment ref="EK173" authorId="1" shapeId="0" xr:uid="{450294EF-6E27-45BF-9A61-42F3829C7E7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úroky traktor KIOTI</t>
        </r>
      </text>
    </comment>
    <comment ref="W176" authorId="0" shapeId="0" xr:uid="{00000000-0006-0000-0C00-00005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vytvořerní paragrafu rezerva na krizové opatření
</t>
        </r>
      </text>
    </comment>
    <comment ref="AK176" authorId="0" shapeId="0" xr:uid="{00000000-0006-0000-0C00-00005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26.500,-  deratizace</t>
        </r>
      </text>
    </comment>
    <comment ref="EK176" authorId="1" shapeId="0" xr:uid="{C7A9764F-1D6C-4C6B-84CE-8DE16C104F5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+ deratizace
</t>
        </r>
      </text>
    </comment>
    <comment ref="FK176" authorId="1" shapeId="0" xr:uid="{85ECC8B5-3DB3-4F74-B1CA-FD87D2FA054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13.000,- v prosincdi kácení vrby u Stani</t>
        </r>
      </text>
    </comment>
    <comment ref="EK177" authorId="1" shapeId="0" xr:uid="{303F50F5-692E-4759-8135-689204BCA1B2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garančky traktoru + 100.000,- zmlazení porostu u dětského hřiště</t>
        </r>
      </text>
    </comment>
    <comment ref="CH178" authorId="3" shapeId="0" xr:uid="{00000000-0006-0000-0C00-00005B000000}">
      <text>
        <r>
          <rPr>
            <b/>
            <sz val="9"/>
            <color indexed="81"/>
            <rFont val="Tahoma"/>
            <family val="2"/>
            <charset val="238"/>
          </rPr>
          <t>Ondratice:</t>
        </r>
        <r>
          <rPr>
            <sz val="9"/>
            <color indexed="81"/>
            <rFont val="Tahoma"/>
            <family val="2"/>
            <charset val="238"/>
          </rPr>
          <t xml:space="preserve">
cesťák p. Kotrys</t>
        </r>
      </text>
    </comment>
    <comment ref="S181" authorId="0" shapeId="0" xr:uid="{00000000-0006-0000-0C00-00005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nepatří sem i nákup čističe chodníků???</t>
        </r>
      </text>
    </comment>
    <comment ref="Y181" authorId="0" shapeId="0" xr:uid="{00000000-0006-0000-0C00-00005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čistič chodníků</t>
        </r>
      </text>
    </comment>
    <comment ref="AK181" authorId="0" shapeId="0" xr:uid="{00000000-0006-0000-0C00-00005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vysavač + 3x biokontejner</t>
        </r>
      </text>
    </comment>
    <comment ref="BM181" authorId="0" shapeId="0" xr:uid="{00000000-0006-0000-0C00-00005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1 586 310,- nový traktor
35.400,- 3x biokontejner</t>
        </r>
      </text>
    </comment>
    <comment ref="BW181" authorId="0" shapeId="0" xr:uid="{00000000-0006-0000-0C00-00006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nový štěpkovač</t>
        </r>
      </text>
    </comment>
    <comment ref="DC181" authorId="0" shapeId="0" xr:uid="{00000000-0006-0000-0C00-00006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61.700,-  kontejner
</t>
        </r>
      </text>
    </comment>
    <comment ref="EK181" authorId="1" shapeId="0" xr:uid="{7A359006-C7CA-4332-8EF0-FD61190000B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příkopové rameno - smlouva již podepsána - dodání do 15.4.2024
</t>
        </r>
      </text>
    </comment>
    <comment ref="CH182" authorId="3" shapeId="0" xr:uid="{00000000-0006-0000-0C00-000062000000}">
      <text>
        <r>
          <rPr>
            <b/>
            <sz val="9"/>
            <color indexed="81"/>
            <rFont val="Tahoma"/>
            <family val="2"/>
            <charset val="238"/>
          </rPr>
          <t>Ondratice:</t>
        </r>
        <r>
          <rPr>
            <sz val="9"/>
            <color indexed="81"/>
            <rFont val="Tahoma"/>
            <family val="2"/>
            <charset val="238"/>
          </rPr>
          <t xml:space="preserve">
RZ traktor</t>
        </r>
      </text>
    </comment>
    <comment ref="DC183" authorId="0" shapeId="0" xr:uid="{00000000-0006-0000-0C00-00006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zeleň kolem zvoničky</t>
        </r>
      </text>
    </comment>
    <comment ref="DC196" authorId="0" shapeId="0" xr:uid="{00000000-0006-0000-0C00-00006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Linka bezpečí</t>
        </r>
      </text>
    </comment>
    <comment ref="C200" authorId="0" shapeId="0" xr:uid="{00000000-0006-0000-0C00-00006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refundace platů</t>
        </r>
      </text>
    </comment>
    <comment ref="L203" authorId="0" shapeId="0" xr:uid="{00000000-0006-0000-0C00-00006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zásahové hadice (1set)</t>
        </r>
      </text>
    </comment>
    <comment ref="S203" authorId="0" shapeId="0" xr:uid="{00000000-0006-0000-0C00-00006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 již koupeným hadicím ještě 2x radiostanice celkem 12.000,-
</t>
        </r>
      </text>
    </comment>
    <comment ref="Y203" authorId="0" shapeId="0" xr:uid="{00000000-0006-0000-0C00-00006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hadice a x radiostanice 
</t>
        </r>
      </text>
    </comment>
    <comment ref="BM203" authorId="0" shapeId="0" xr:uid="{00000000-0006-0000-0C00-00006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agregát + označení zborjnice (s hasiči na půl)
</t>
        </r>
      </text>
    </comment>
    <comment ref="DC203" authorId="0" shapeId="0" xr:uid="{00000000-0006-0000-0C00-00006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boty + zásahový oblek  - podána žádso o dotaci na Olkraj - možná dotace až 100%</t>
        </r>
      </text>
    </comment>
    <comment ref="EK203" authorId="1" shapeId="0" xr:uid="{BE0AC43A-150F-4F28-8CFE-8BFACDE019C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kalové čerpadlo - žádost na OL kraj</t>
        </r>
      </text>
    </comment>
    <comment ref="FV203" authorId="1" shapeId="0" xr:uid="{7C01F307-54EB-45DA-A76B-527BCF52B6BE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kalové čerpadlo - máme zažádáno o dotaci z OL kraje 34tis</t>
        </r>
      </text>
    </comment>
    <comment ref="FY203" authorId="1" shapeId="0" xr:uid="{61EEB14E-3197-4D6E-9824-4C052A90DAB0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kalové čerpadlo - máme zažádáno o dotaci z OL kraje 34tis</t>
        </r>
      </text>
    </comment>
    <comment ref="BM204" authorId="0" shapeId="0" xr:uid="{00000000-0006-0000-0C00-00006B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Lak na vrata klempířskou + Primalex na garáž + barva na střechu
</t>
        </r>
      </text>
    </comment>
    <comment ref="DC204" authorId="0" shapeId="0" xr:uid="{00000000-0006-0000-0C00-00006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nátěr plechů, nové označení hasičárny</t>
        </r>
      </text>
    </comment>
    <comment ref="DC211" authorId="0" shapeId="0" xr:uid="{00000000-0006-0000-0C00-00006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50.000,-. Oprava hasičské nádrže</t>
        </r>
      </text>
    </comment>
    <comment ref="DC215" authorId="0" shapeId="0" xr:uid="{00000000-0006-0000-0C00-00006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dotace: 10.000,- jako každý rok plus 10.000,- k výročí 100 let</t>
        </r>
      </text>
    </comment>
    <comment ref="FV219" authorId="1" shapeId="0" xr:uid="{C43A513F-0BAD-4841-B832-5ECEDAE79457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AED přístroj - defibrilátor</t>
        </r>
      </text>
    </comment>
    <comment ref="L220" authorId="0" shapeId="0" xr:uid="{00000000-0006-0000-0C00-00006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nové hasičské vozidlo - bude pořízeno s dotací 450tis  HZS a snad i 100t z OLkraje</t>
        </r>
      </text>
    </comment>
    <comment ref="C223" authorId="0" shapeId="0" xr:uid="{00000000-0006-0000-0C00-00007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SDH + JSDH</t>
        </r>
      </text>
    </comment>
    <comment ref="BM262" authorId="0" shapeId="0" xr:uid="{00000000-0006-0000-0C00-00007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úklid OÚ</t>
        </r>
      </text>
    </comment>
    <comment ref="DC262" authorId="0" shapeId="0" xr:uid="{00000000-0006-0000-0C00-00007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úklid + brigádníci</t>
        </r>
      </text>
    </comment>
    <comment ref="AK267" authorId="0" shapeId="0" xr:uid="{00000000-0006-0000-0C00-00007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Zákony pro lidi - přístup do webu</t>
        </r>
      </text>
    </comment>
    <comment ref="EK267" authorId="1" shapeId="0" xr:uid="{4F2A014C-8C6B-4076-B1DA-A6E72169D73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předplatné "Zákony pro lidi" - na 3 roky</t>
        </r>
      </text>
    </comment>
    <comment ref="DC270" authorId="0" shapeId="0" xr:uid="{00000000-0006-0000-0C00-00007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2 NB + příslušenství</t>
        </r>
      </text>
    </comment>
    <comment ref="EK271" authorId="1" shapeId="0" xr:uid="{CFC1F417-12A8-4500-8AE9-35F55F4EAD1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tonery + kancl.potřeby+potřeby pro provoz kanceláře</t>
        </r>
      </text>
    </comment>
    <comment ref="EK273" authorId="1" shapeId="0" xr:uid="{94DBB038-1702-4B97-B900-D87B14311E3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č.p. 15 a 31</t>
        </r>
      </text>
    </comment>
    <comment ref="EK274" authorId="1" shapeId="0" xr:uid="{D033183E-D1AF-4A07-8C65-0BCB87379D7D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č.p. 15 a 31</t>
        </r>
      </text>
    </comment>
    <comment ref="EK275" authorId="1" shapeId="0" xr:uid="{10D0AD5F-5730-4AEC-B164-2FC730BE771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č.p. 15 a 31</t>
        </r>
      </text>
    </comment>
    <comment ref="C277" authorId="0" shapeId="0" xr:uid="{00000000-0006-0000-0C00-00007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internet, telefony</t>
        </r>
      </text>
    </comment>
    <comment ref="EK277" authorId="1" shapeId="0" xr:uid="{DBC7B524-93C9-462F-8C03-E3EDB8231B8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telefony + rozhl.poplatek</t>
        </r>
      </text>
    </comment>
    <comment ref="DH280" authorId="0" shapeId="0" xr:uid="{00000000-0006-0000-0C00-00007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manažer datové schránky</t>
        </r>
      </text>
    </comment>
    <comment ref="BD281" authorId="0" shapeId="0" xr:uid="{00000000-0006-0000-0C00-00007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120.000,- odahdované náklady na vyměření parcel na Z5 - mělo by proběhnout jesště do konce roku
</t>
        </r>
      </text>
    </comment>
    <comment ref="DC288" authorId="0" shapeId="0" xr:uid="{00000000-0006-0000-0C00-00007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přestupková agenda</t>
        </r>
      </text>
    </comment>
    <comment ref="EK288" authorId="1" shapeId="0" xr:uid="{2FB543ED-82FC-442F-AC46-6975C7CE7E9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přestupková agenda
</t>
        </r>
      </text>
    </comment>
    <comment ref="EK303" authorId="1" shapeId="0" xr:uid="{ADDE3741-5D6B-41FE-8A2E-7107132EE42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pojištění majetku (stavby + vozidla)
</t>
        </r>
      </text>
    </comment>
    <comment ref="V307" authorId="0" shapeId="0" xr:uid="{00000000-0006-0000-0C00-00007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dotace obchodu
</t>
        </r>
      </text>
    </comment>
    <comment ref="AK307" authorId="0" shapeId="0" xr:uid="{00000000-0006-0000-0C00-00007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pokrytí nákladů LUNA</t>
        </r>
      </text>
    </comment>
    <comment ref="BM307" authorId="0" shapeId="0" xr:uid="{00000000-0006-0000-0C00-00007B000000}">
      <text>
        <r>
          <rPr>
            <b/>
            <sz val="9"/>
            <color indexed="81"/>
            <rFont val="Tahoma"/>
            <family val="2"/>
            <charset val="238"/>
          </rPr>
          <t xml:space="preserve">Obec Ondratice:  
</t>
        </r>
        <r>
          <rPr>
            <sz val="9"/>
            <color indexed="81"/>
            <rFont val="Tahoma"/>
            <family val="2"/>
            <charset val="238"/>
          </rPr>
          <t>podpora LUNY</t>
        </r>
      </text>
    </comment>
    <comment ref="DC307" authorId="0" shapeId="0" xr:uid="{00000000-0006-0000-0C00-00007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prodejna LUNA</t>
        </r>
      </text>
    </comment>
    <comment ref="FV307" authorId="1" shapeId="0" xr:uid="{CF14715F-C12E-4DE6-A8F2-E200A1C0EFB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podpora prodejny</t>
        </r>
      </text>
    </comment>
    <comment ref="FB314" authorId="1" shapeId="0" xr:uid="{E5BC55D2-9DE1-48C9-BBC8-FD1244116E3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DPH</t>
        </r>
      </text>
    </comment>
    <comment ref="FE314" authorId="1" shapeId="0" xr:uid="{D33FCCF4-C4D3-4C36-84FB-C7C5BC772CC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DPH</t>
        </r>
      </text>
    </comment>
    <comment ref="FH314" authorId="1" shapeId="0" xr:uid="{5A1D1250-D599-43FA-B9E6-F1CB403C9302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DPH</t>
        </r>
      </text>
    </comment>
    <comment ref="FK314" authorId="1" shapeId="0" xr:uid="{C4788480-2B0A-4173-A3E9-E5F60EA3FCD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DPH</t>
        </r>
      </text>
    </comment>
    <comment ref="EK319" authorId="1" shapeId="0" xr:uid="{7DD9899F-4E70-4EF8-9D05-1E7E435301B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vratka z prezidentských voleb</t>
        </r>
      </text>
    </comment>
    <comment ref="FV319" authorId="1" shapeId="0" xr:uid="{C6B4A9CD-1B55-4A2B-A320-3CE732AEBE95}">
      <text>
        <r>
          <rPr>
            <b/>
            <sz val="11"/>
            <color indexed="81"/>
            <rFont val="Tahoma"/>
            <charset val="1"/>
          </rPr>
          <t>Bob Koštanský:</t>
        </r>
        <r>
          <rPr>
            <sz val="11"/>
            <color indexed="81"/>
            <rFont val="Tahoma"/>
            <charset val="1"/>
          </rPr>
          <t xml:space="preserve">
vratka z evropských a krajských voleb</t>
        </r>
      </text>
    </comment>
    <comment ref="EK322" authorId="1" shapeId="0" xr:uid="{60FF2468-5C37-49CD-ABB0-922A5EC8B553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vstupní lékařské prohlídky</t>
        </r>
      </text>
    </comment>
    <comment ref="C323" authorId="1" shapeId="0" xr:uid="{4DDDDCA4-A3D1-489D-B50D-D30570E6966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příspěvek MAS</t>
        </r>
      </text>
    </comment>
    <comment ref="EK323" authorId="1" shapeId="0" xr:uid="{213DD86E-2AFB-4400-8696-06A614907867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čl.příspěvek MAS</t>
        </r>
      </text>
    </comment>
    <comment ref="FV323" authorId="1" shapeId="0" xr:uid="{ECF19226-94BD-4CF4-8D21-681E18AD33BA}">
      <text>
        <r>
          <rPr>
            <b/>
            <sz val="11"/>
            <color indexed="81"/>
            <rFont val="Tahoma"/>
            <charset val="1"/>
          </rPr>
          <t>Bob Koštanský:</t>
        </r>
        <r>
          <rPr>
            <sz val="11"/>
            <color indexed="81"/>
            <rFont val="Tahoma"/>
            <charset val="1"/>
          </rPr>
          <t xml:space="preserve">
MAS</t>
        </r>
      </text>
    </comment>
    <comment ref="EK324" authorId="1" shapeId="0" xr:uid="{F69780CB-0CB8-439E-A028-2DB1FCC31512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čl.příspěvek SMO</t>
        </r>
      </text>
    </comment>
    <comment ref="FV324" authorId="1" shapeId="0" xr:uid="{FCDB6BE1-747D-48E9-A33C-A7BEB56245E4}">
      <text>
        <r>
          <rPr>
            <b/>
            <sz val="11"/>
            <color indexed="81"/>
            <rFont val="Tahoma"/>
            <charset val="1"/>
          </rPr>
          <t>Bob Koštanský:</t>
        </r>
        <r>
          <rPr>
            <sz val="11"/>
            <color indexed="81"/>
            <rFont val="Tahoma"/>
            <charset val="1"/>
          </rPr>
          <t xml:space="preserve">
SMO</t>
        </r>
      </text>
    </comment>
    <comment ref="EK325" authorId="1" shapeId="0" xr:uid="{EFFBB403-8F90-47CE-A947-FFD80B014B2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čl.příspěvek Předina</t>
        </r>
      </text>
    </comment>
    <comment ref="FV325" authorId="1" shapeId="0" xr:uid="{0D1B51D4-3E61-41C4-A453-90C3562FAD93}">
      <text>
        <r>
          <rPr>
            <b/>
            <sz val="11"/>
            <color indexed="81"/>
            <rFont val="Tahoma"/>
            <charset val="1"/>
          </rPr>
          <t>Bob Koštanský:</t>
        </r>
        <r>
          <rPr>
            <sz val="11"/>
            <color indexed="81"/>
            <rFont val="Tahoma"/>
            <charset val="1"/>
          </rPr>
          <t xml:space="preserve">
Předina</t>
        </r>
      </text>
    </comment>
    <comment ref="BM339" authorId="0" shapeId="0" xr:uid="{F7077B36-7BAD-4D19-96EB-ABD77C8E8CF4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CY339" authorId="0" shapeId="0" xr:uid="{BB453B69-3B81-4707-B76A-CB62654A3F62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A339" authorId="0" shapeId="0" xr:uid="{CB2CDAD9-4ADD-4EC8-88A8-E372B78C99C2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C339" authorId="0" shapeId="0" xr:uid="{E96FA997-3F56-4C74-B0F5-D60A793639E4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E339" authorId="0" shapeId="0" xr:uid="{71E844A2-C76B-4199-BD33-1117CC931707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F339" authorId="0" shapeId="0" xr:uid="{702A870E-BE09-49B8-AE7E-E90E525D5E0B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H339" authorId="0" shapeId="0" xr:uid="{8C437521-50EA-452B-B20B-3CFC45707B7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I339" authorId="0" shapeId="0" xr:uid="{D0337EDA-204F-4A26-9965-0DAA1FCF8108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K339" authorId="0" shapeId="0" xr:uid="{E0A9F0E1-AA58-4308-8143-54D5563B8928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L339" authorId="0" shapeId="0" xr:uid="{190D6C76-89D5-4A41-8111-AC6CDA9DFAA6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N339" authorId="0" shapeId="0" xr:uid="{0A6133D3-CB5E-4EF1-B0C6-09A0ABECA98A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O339" authorId="0" shapeId="0" xr:uid="{CB097F5F-D9A7-4368-B523-A83F63A040AF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Q339" authorId="0" shapeId="0" xr:uid="{07ADEDE5-F730-4948-82AD-8D8EF4A30AE6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R339" authorId="0" shapeId="0" xr:uid="{126ED36E-BF9C-40CA-9503-AC8A1B580FF8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T339" authorId="0" shapeId="0" xr:uid="{A11F21F5-B411-408B-A05F-54751C9063CF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U339" authorId="0" shapeId="0" xr:uid="{26BA2666-AE29-4479-9A12-EB035ED1126B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W339" authorId="0" shapeId="0" xr:uid="{AFFFE248-2165-49BB-83AA-F26FDA50518B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X339" authorId="0" shapeId="0" xr:uid="{9C07DA66-EEA2-42B3-85A8-9F6B29BD21A7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Z339" authorId="0" shapeId="0" xr:uid="{55A981BD-4344-4B5A-860B-4AB54F27F2C7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A339" authorId="0" shapeId="0" xr:uid="{647607CC-9C8F-4F2C-9844-49586F3D3B6E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C339" authorId="0" shapeId="0" xr:uid="{2BE88EEC-A213-4E32-B575-558A866F9751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D339" authorId="0" shapeId="0" xr:uid="{04E2404D-239F-4F00-8E0D-2C2A8D0A7522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F339" authorId="0" shapeId="0" xr:uid="{C0191FF8-661E-44F2-8DFA-B870DE761634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G339" authorId="0" shapeId="0" xr:uid="{94CF581F-E013-45A5-84B0-EB1C420B738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I339" authorId="0" shapeId="0" xr:uid="{6DD176A0-24BF-4A5B-9741-4425F8468BEE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K339" authorId="0" shapeId="0" xr:uid="{C339AF7E-221D-4F41-BC84-7F6C907C3B7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M339" authorId="0" shapeId="0" xr:uid="{A266734C-132B-4828-B63F-2CED5F62D951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N339" authorId="0" shapeId="0" xr:uid="{7A28DDFA-6684-4733-8A51-3C22ED1F24DB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P339" authorId="0" shapeId="0" xr:uid="{CD0B2C2C-AB08-46BE-BDAF-9BAA6182421D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Q339" authorId="0" shapeId="0" xr:uid="{B36F4300-0184-467D-8761-9FF26482F99B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S339" authorId="0" shapeId="0" xr:uid="{2F4FF78A-F2B9-4CC9-9915-96225857072F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T339" authorId="0" shapeId="0" xr:uid="{07AA1147-7DD7-40BC-BFBB-B6DCF9EF4D2F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V339" authorId="0" shapeId="0" xr:uid="{7D641F0C-37C6-42BD-88E7-A8CB774592B5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W339" authorId="0" shapeId="0" xr:uid="{77DD2345-597D-4020-86EA-5B068B001974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Y339" authorId="0" shapeId="0" xr:uid="{CCA02538-4E7E-4BE3-9B42-4AA2567DABB6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Z339" authorId="0" shapeId="0" xr:uid="{BA0D27D2-89A8-43C1-BBEF-6A172DB3DC47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B339" authorId="0" shapeId="0" xr:uid="{84A225E7-37B5-47DB-9B22-F58CB90D8492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C339" authorId="0" shapeId="0" xr:uid="{3F9A9D72-FED6-40C6-B34F-D57176FA9C44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E339" authorId="0" shapeId="0" xr:uid="{00DFFA4E-26BD-43A3-BB62-2AB3A9BA291C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F339" authorId="0" shapeId="0" xr:uid="{F88C2A8B-538C-41DA-9E1D-706C5C6CA99C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H339" authorId="0" shapeId="0" xr:uid="{E7582E65-1261-45B8-8EBB-013BFA2DD98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I339" authorId="0" shapeId="0" xr:uid="{6F521B64-4DD5-487F-B9BB-9B0142E86181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K339" authorId="0" shapeId="0" xr:uid="{68BFCBEB-2DBF-4E37-B567-A848BCE9FCA1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L339" authorId="0" shapeId="0" xr:uid="{BD686D86-AF0D-41BF-A568-D38C192ED664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N339" authorId="0" shapeId="0" xr:uid="{460BE626-2B56-47A4-A50D-18994ADE46E1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O339" authorId="0" shapeId="0" xr:uid="{525364E0-1A77-4BB7-A85D-251E1D27FAF7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Q339" authorId="0" shapeId="0" xr:uid="{5E39864F-F8E8-46F1-90DB-2DFCBED1765F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R339" authorId="0" shapeId="0" xr:uid="{8E60561B-D242-4F89-931E-7F3E267082D6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T339" authorId="0" shapeId="0" xr:uid="{A83E56A9-4BB4-4A79-A6B6-5DE03EB404B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V339" authorId="0" shapeId="0" xr:uid="{DB3FCEA5-C007-4D13-A85B-D274B8DF6879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</commentList>
</comments>
</file>

<file path=xl/sharedStrings.xml><?xml version="1.0" encoding="utf-8"?>
<sst xmlns="http://schemas.openxmlformats.org/spreadsheetml/2006/main" count="3018" uniqueCount="704">
  <si>
    <t/>
  </si>
  <si>
    <t>Schválený</t>
  </si>
  <si>
    <t>Rozpočet</t>
  </si>
  <si>
    <t>Výsledek od</t>
  </si>
  <si>
    <t>Paragraf</t>
  </si>
  <si>
    <t>Položka</t>
  </si>
  <si>
    <t>Text</t>
  </si>
  <si>
    <t>rozpočet</t>
  </si>
  <si>
    <t>%</t>
  </si>
  <si>
    <t>po změnách</t>
  </si>
  <si>
    <t>počátku roku</t>
  </si>
  <si>
    <t>0000</t>
  </si>
  <si>
    <t>1111</t>
  </si>
  <si>
    <t>Daň z příjmů fyzických osob placená plátci</t>
  </si>
  <si>
    <t>1112</t>
  </si>
  <si>
    <t>Daň z příjmů fyzických osob placená poplatníky</t>
  </si>
  <si>
    <t>1113</t>
  </si>
  <si>
    <t>Daň z 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</si>
  <si>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</si>
  <si>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</si>
  <si>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</si>
  <si>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</si>
  <si>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</si>
  <si>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</si>
  <si>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</si>
  <si>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</si>
  <si>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1341</t>
  </si>
  <si>
    <t>Poplatek ze psů</t>
  </si>
  <si>
    <t>1343</t>
  </si>
  <si>
    <t>Poplatek za užívání veřejného prostranství</t>
  </si>
  <si>
    <t>1361</t>
  </si>
  <si>
    <t>Správní poplatky</t>
  </si>
  <si>
    <t>1381</t>
  </si>
  <si>
    <t>Daň z hazardních her s výjimkou dílčí daně z technic.her</t>
  </si>
  <si>
    <t>1511</t>
  </si>
  <si>
    <t>Daň z nemovitých věcí</t>
  </si>
  <si>
    <t>4111</t>
  </si>
  <si>
    <t>Neinvest.přij.transfery z všeob.pokl.správy stát.rozpočtu</t>
  </si>
  <si>
    <t>4112</t>
  </si>
  <si>
    <t>Neinv.přij.transfery ze st.rozp.v rámci souhrn.dotač.vzta</t>
  </si>
  <si>
    <t>4116</t>
  </si>
  <si>
    <t>Ostatní neinvestič.přijaté transfery ze stát.rozpočtu</t>
  </si>
  <si>
    <t>4122</t>
  </si>
  <si>
    <t>Neinvestiční přijaté transfery od krajů</t>
  </si>
  <si>
    <t>4216</t>
  </si>
  <si>
    <t>Ostatní investiční přijaté transfery ze stát. rozpočtu</t>
  </si>
  <si>
    <t>*</t>
  </si>
  <si>
    <t>000</t>
  </si>
  <si>
    <t>**</t>
  </si>
  <si>
    <t>1011</t>
  </si>
  <si>
    <t>2131</t>
  </si>
  <si>
    <t>Příjmy z pronájmu pozemků</t>
  </si>
  <si>
    <t>101</t>
  </si>
  <si>
    <t>Zeměděl. a potrav. činnost a rozvoj</t>
  </si>
  <si>
    <t>2119</t>
  </si>
  <si>
    <t>2343</t>
  </si>
  <si>
    <t>Příjmy dobíh.úhrad z dobýv.prostoru a z vydob.nerostů</t>
  </si>
  <si>
    <t>Ostatní záležitosti těžebního průmyslu a energetiky</t>
  </si>
  <si>
    <t>211</t>
  </si>
  <si>
    <t>Záležitosti těžebního průmyslu a energet.</t>
  </si>
  <si>
    <t>3639</t>
  </si>
  <si>
    <t>3111</t>
  </si>
  <si>
    <t>Příjmy z prodeje pozemků</t>
  </si>
  <si>
    <t>Komunální služby a územní rozvoj jinde nezařazené</t>
  </si>
  <si>
    <t>363</t>
  </si>
  <si>
    <t>Komunální služby a územní rozvoj</t>
  </si>
  <si>
    <t>3725</t>
  </si>
  <si>
    <t>2324</t>
  </si>
  <si>
    <t>Využívání a zneškodňování komunálních odpadů</t>
  </si>
  <si>
    <t>372</t>
  </si>
  <si>
    <t>Nakládání s odpady</t>
  </si>
  <si>
    <t>3745</t>
  </si>
  <si>
    <t>Ostatní příjmy z vlastní činnosti</t>
  </si>
  <si>
    <t>Péče o vzhled obcí a veřejnou zeleň</t>
  </si>
  <si>
    <t>374</t>
  </si>
  <si>
    <t>Ochrana přírody a krajiny</t>
  </si>
  <si>
    <t>6171</t>
  </si>
  <si>
    <t>2111</t>
  </si>
  <si>
    <t>Příjmy z poskytování služeb a výrobků</t>
  </si>
  <si>
    <t>2112</t>
  </si>
  <si>
    <t>Příjmy z prodeje zboží (již nakoupeného za účelem prodeje</t>
  </si>
  <si>
    <t>2132</t>
  </si>
  <si>
    <t>Příjmy z pronájmu ostatních nemovitých věcí a jejich částí</t>
  </si>
  <si>
    <t>Činnost místní správy</t>
  </si>
  <si>
    <t>617</t>
  </si>
  <si>
    <t>Regionální a místní správa</t>
  </si>
  <si>
    <t>6310</t>
  </si>
  <si>
    <t>2141</t>
  </si>
  <si>
    <t>Příjmy z úroků (část)</t>
  </si>
  <si>
    <t>Obecné příjmy a výdaje z finančních operací</t>
  </si>
  <si>
    <t>631</t>
  </si>
  <si>
    <t>6330</t>
  </si>
  <si>
    <t>4134</t>
  </si>
  <si>
    <t>Převody z rozpočtových účtů</t>
  </si>
  <si>
    <t>4138</t>
  </si>
  <si>
    <t>Převody z vlastní pokladny</t>
  </si>
  <si>
    <t>Převody vlastním fondům v rozpočtech územní úrovně</t>
  </si>
  <si>
    <t>633</t>
  </si>
  <si>
    <t>Převody vlastním fondům v rozp.územní úrovně</t>
  </si>
  <si>
    <t>6409</t>
  </si>
  <si>
    <t>2328</t>
  </si>
  <si>
    <t>Neidentifikované příjmy</t>
  </si>
  <si>
    <t>Ostatní činnosti jinde nezařazené</t>
  </si>
  <si>
    <t>640</t>
  </si>
  <si>
    <t>Ostatní činnosti</t>
  </si>
  <si>
    <t>PŘÍJMY celkem:   ************************************************************</t>
  </si>
  <si>
    <t>1039</t>
  </si>
  <si>
    <t>5222</t>
  </si>
  <si>
    <t>Neinvestiční transfery spolkům</t>
  </si>
  <si>
    <t>Ostatní záležitosti lesního hospodářství</t>
  </si>
  <si>
    <t>103</t>
  </si>
  <si>
    <t>Lesní hospodářství</t>
  </si>
  <si>
    <t>2219</t>
  </si>
  <si>
    <t>5137</t>
  </si>
  <si>
    <t>Drobný hmotný dlouhodobý majetek</t>
  </si>
  <si>
    <t>5169</t>
  </si>
  <si>
    <t>Nákup ostatních služeb</t>
  </si>
  <si>
    <t>5171</t>
  </si>
  <si>
    <t>Opravy a udržování</t>
  </si>
  <si>
    <t>Ostatní záležitosti pozemních komunikací</t>
  </si>
  <si>
    <t>221</t>
  </si>
  <si>
    <t>Pozemní komunikace</t>
  </si>
  <si>
    <t>2292</t>
  </si>
  <si>
    <t>5339</t>
  </si>
  <si>
    <t>Neinvestiční transfery cizím příspěvkovým organizacím</t>
  </si>
  <si>
    <t>Dopravní obslužnost veřejnými službami</t>
  </si>
  <si>
    <t>229</t>
  </si>
  <si>
    <t>Ostatní činnost a nespecifikované výdaje v dopravě</t>
  </si>
  <si>
    <t>2321</t>
  </si>
  <si>
    <t>5329</t>
  </si>
  <si>
    <t>Ost.neinvest.transfery veřejným rozpočtům územní úrovně</t>
  </si>
  <si>
    <t>Odvádění a čištění odpadních vod a nakládání s kaly</t>
  </si>
  <si>
    <t>232</t>
  </si>
  <si>
    <t>Odvádění a čištění odpadních vod</t>
  </si>
  <si>
    <t>5321</t>
  </si>
  <si>
    <t>Neinvestiční transfery obcím</t>
  </si>
  <si>
    <t>Mateřské školy</t>
  </si>
  <si>
    <t>3113</t>
  </si>
  <si>
    <t>Základní školy</t>
  </si>
  <si>
    <t>311</t>
  </si>
  <si>
    <t>Předškolní a základní vzdělávání</t>
  </si>
  <si>
    <t>3319</t>
  </si>
  <si>
    <t>5021</t>
  </si>
  <si>
    <t>Ostatní osobní výdaje</t>
  </si>
  <si>
    <t>5136</t>
  </si>
  <si>
    <t>Knihy, učební pomůcky a tisk</t>
  </si>
  <si>
    <t>5139</t>
  </si>
  <si>
    <t>Nákup materiálu jinde nezařazený</t>
  </si>
  <si>
    <t>5175</t>
  </si>
  <si>
    <t>Pohoštění</t>
  </si>
  <si>
    <t>5194</t>
  </si>
  <si>
    <t>Věcné dary</t>
  </si>
  <si>
    <t>5492</t>
  </si>
  <si>
    <t>Dary obyvatelstvu</t>
  </si>
  <si>
    <t>Ostatní záležitosti kultury</t>
  </si>
  <si>
    <t>331</t>
  </si>
  <si>
    <t>Kultura</t>
  </si>
  <si>
    <t>5151</t>
  </si>
  <si>
    <t>Studená voda</t>
  </si>
  <si>
    <t>5153</t>
  </si>
  <si>
    <t>Plyn</t>
  </si>
  <si>
    <t>5154</t>
  </si>
  <si>
    <t>Elektrická energie</t>
  </si>
  <si>
    <t>5223</t>
  </si>
  <si>
    <t>Neinvestiční transfery církvím a náboženským společnostem</t>
  </si>
  <si>
    <t>3412</t>
  </si>
  <si>
    <t>Sportovní zařízení ve vlastnictví obce</t>
  </si>
  <si>
    <t>3419</t>
  </si>
  <si>
    <t>Ostatní sportovní činnost</t>
  </si>
  <si>
    <t>341</t>
  </si>
  <si>
    <t>Sport</t>
  </si>
  <si>
    <t>3612</t>
  </si>
  <si>
    <t>Bytové hospodářství</t>
  </si>
  <si>
    <t>3613</t>
  </si>
  <si>
    <t>Nebytové hospodářství</t>
  </si>
  <si>
    <t>3631</t>
  </si>
  <si>
    <t>Veřejné osvětlení</t>
  </si>
  <si>
    <t>3721</t>
  </si>
  <si>
    <t>Sběr a svoz nebezpečných odpadů</t>
  </si>
  <si>
    <t>3722</t>
  </si>
  <si>
    <t>Sběr a svoz komunálních odpadů</t>
  </si>
  <si>
    <t>3723</t>
  </si>
  <si>
    <t>Sběr a svoz ostatních odpadů (jiných než nebezp. a komunál.)</t>
  </si>
  <si>
    <t>5011</t>
  </si>
  <si>
    <t>Platy zaměstnanců v prac.pom. vyjma zaměst.na služ.místech</t>
  </si>
  <si>
    <t>5031</t>
  </si>
  <si>
    <t>Povin.pojistné na soc.zab.a příspěvek na st.politiku zamě</t>
  </si>
  <si>
    <t>5032</t>
  </si>
  <si>
    <t>Povinné pojistné na veřejné zdravotní pojištění</t>
  </si>
  <si>
    <t>5132</t>
  </si>
  <si>
    <t>Ochranné pomůcky</t>
  </si>
  <si>
    <t>5134</t>
  </si>
  <si>
    <t>Prádlo, oděv a obuv</t>
  </si>
  <si>
    <t>5156</t>
  </si>
  <si>
    <t>Pohonné hmoty a maziva</t>
  </si>
  <si>
    <t>5167</t>
  </si>
  <si>
    <t>Služby školení a vzdělávání</t>
  </si>
  <si>
    <t>5424</t>
  </si>
  <si>
    <t>Náhrady mezd v době nemoci</t>
  </si>
  <si>
    <t>6122</t>
  </si>
  <si>
    <t>Stroje, přístroje a zařízení</t>
  </si>
  <si>
    <t>5512</t>
  </si>
  <si>
    <t>5019</t>
  </si>
  <si>
    <t>Ostatní platy</t>
  </si>
  <si>
    <t>5039</t>
  </si>
  <si>
    <t>Ostatní povinné pojistné placené zaměstnavatelem</t>
  </si>
  <si>
    <t>5173</t>
  </si>
  <si>
    <t>Cestovné</t>
  </si>
  <si>
    <t>6121</t>
  </si>
  <si>
    <t>Budovy, haly a stavby</t>
  </si>
  <si>
    <t>6123</t>
  </si>
  <si>
    <t>Dopravní prostředky</t>
  </si>
  <si>
    <t>Požární ochrana - dobrovolná část</t>
  </si>
  <si>
    <t>551</t>
  </si>
  <si>
    <t>Požární ochrana</t>
  </si>
  <si>
    <t>6112</t>
  </si>
  <si>
    <t>5023</t>
  </si>
  <si>
    <t>Odměny členů zastupitelstev obcí a krajů</t>
  </si>
  <si>
    <t>Zastupitelstva obcí</t>
  </si>
  <si>
    <t>6117</t>
  </si>
  <si>
    <t>5161</t>
  </si>
  <si>
    <t>Poštovní služby</t>
  </si>
  <si>
    <t>Volby do Evropského parlamentu</t>
  </si>
  <si>
    <t>5038</t>
  </si>
  <si>
    <t>Povinné pojistné na úrazové pojištění</t>
  </si>
  <si>
    <t>5133</t>
  </si>
  <si>
    <t>Léky a zdravotnický materiál</t>
  </si>
  <si>
    <t>5162</t>
  </si>
  <si>
    <t>Služby elektronických komunikací</t>
  </si>
  <si>
    <t>5163</t>
  </si>
  <si>
    <t>Služby peněžních ústavů</t>
  </si>
  <si>
    <t>5172</t>
  </si>
  <si>
    <t>Programové vybavení</t>
  </si>
  <si>
    <t>5191</t>
  </si>
  <si>
    <t>Zaplacené sankce</t>
  </si>
  <si>
    <t>6320</t>
  </si>
  <si>
    <t>Pojištění funkčně nespecifikované</t>
  </si>
  <si>
    <t>632</t>
  </si>
  <si>
    <t>5341</t>
  </si>
  <si>
    <t>Převody vlastním fondům hospodářské (podnikatel.) činnost</t>
  </si>
  <si>
    <t>5344</t>
  </si>
  <si>
    <t>Převody vlastním rezervním fondům územních rozpočtů</t>
  </si>
  <si>
    <t>5345</t>
  </si>
  <si>
    <t>Převody vlastním rozpočtovým účtům</t>
  </si>
  <si>
    <t>5348</t>
  </si>
  <si>
    <t>Převody do vlastní pokladny</t>
  </si>
  <si>
    <t>6399</t>
  </si>
  <si>
    <t>5362</t>
  </si>
  <si>
    <t>Platby daní a poplatků státnímu rozpočtu</t>
  </si>
  <si>
    <t>5365</t>
  </si>
  <si>
    <t>Platby daní a poplatků krajům,obcím a státním fondům</t>
  </si>
  <si>
    <t>Ostatní finanční operace</t>
  </si>
  <si>
    <t>639</t>
  </si>
  <si>
    <t>6402</t>
  </si>
  <si>
    <t>5364</t>
  </si>
  <si>
    <t>Vratky transferů poskytnutých z veř.rozpočtů ústř.úrovně</t>
  </si>
  <si>
    <t>Finanční vypořádání minulých let</t>
  </si>
  <si>
    <t>5229</t>
  </si>
  <si>
    <t>Ost.neinvestiční transfery neziskovým a podob. organizací</t>
  </si>
  <si>
    <t>VÝDAJE celkem:   ************************************************************</t>
  </si>
  <si>
    <t>Název</t>
  </si>
  <si>
    <t>PŘÍJMY CELKEM</t>
  </si>
  <si>
    <t>VÝDAJE CELKEM</t>
  </si>
  <si>
    <t>PŘÍJMY</t>
  </si>
  <si>
    <t>Kč</t>
  </si>
  <si>
    <t>DAŇOVÉ</t>
  </si>
  <si>
    <t>1xxx</t>
  </si>
  <si>
    <t>NEDAŇOVÉ</t>
  </si>
  <si>
    <t>2xxx</t>
  </si>
  <si>
    <t>KAPITÁLOVÉ</t>
  </si>
  <si>
    <t>3xxx</t>
  </si>
  <si>
    <t>PŘIJATÉ TRANSFERY</t>
  </si>
  <si>
    <t>4xxx</t>
  </si>
  <si>
    <t>VÝDAJE</t>
  </si>
  <si>
    <t>BĚŽNÉ VÝDAJE</t>
  </si>
  <si>
    <t>5xxxx</t>
  </si>
  <si>
    <t>KAPITÁLOVÉ VÝDAJE</t>
  </si>
  <si>
    <t>6xxx</t>
  </si>
  <si>
    <t>SALDO ROZPOČTU (PŘÍJMY - VÝDAJE)</t>
  </si>
  <si>
    <t>FINANCOVÁNÍ</t>
  </si>
  <si>
    <t>Zdroje z minulých let</t>
  </si>
  <si>
    <t xml:space="preserve">Výsledek </t>
  </si>
  <si>
    <t>1-10/2019</t>
  </si>
  <si>
    <t>Rozpis rozpočtových příjmů</t>
  </si>
  <si>
    <t>Rozpis rozpočtových výdajů</t>
  </si>
  <si>
    <t>forecast</t>
  </si>
  <si>
    <t>2019</t>
  </si>
  <si>
    <t>vývoj orzp.</t>
  </si>
  <si>
    <t>20/19</t>
  </si>
  <si>
    <t xml:space="preserve">vývoj </t>
  </si>
  <si>
    <t>20/odhad 19</t>
  </si>
  <si>
    <t>vývoj rozp.</t>
  </si>
  <si>
    <t xml:space="preserve">Daňové příjmy celkem </t>
  </si>
  <si>
    <t>Přijaté transfery celkem</t>
  </si>
  <si>
    <t>lokalita Z4</t>
  </si>
  <si>
    <t xml:space="preserve">prodeje pozemků v obci </t>
  </si>
  <si>
    <t>Kapitálové příjmy celkem</t>
  </si>
  <si>
    <t>2212</t>
  </si>
  <si>
    <t>Silnice</t>
  </si>
  <si>
    <t>2223</t>
  </si>
  <si>
    <t>Bezpečnost silničního provozu</t>
  </si>
  <si>
    <t>2229</t>
  </si>
  <si>
    <t>Ostatní záležitosti v silniční dopravě</t>
  </si>
  <si>
    <t>222</t>
  </si>
  <si>
    <t>Silniční doprava</t>
  </si>
  <si>
    <t>6113</t>
  </si>
  <si>
    <t>Nehmotné výsledky výzkumné a obdobné činnosti</t>
  </si>
  <si>
    <t>5041</t>
  </si>
  <si>
    <t>Odměny za užití duševního vlastnictví</t>
  </si>
  <si>
    <t>01 -19.11./2019</t>
  </si>
  <si>
    <t>rozhlas</t>
  </si>
  <si>
    <t>eko-kom</t>
  </si>
  <si>
    <t>ZEVAS, Tomášek, Vystavěl</t>
  </si>
  <si>
    <t>kiosek</t>
  </si>
  <si>
    <t>hospoda, sály, tělocvična</t>
  </si>
  <si>
    <t>Nedaňové příjmy celkem</t>
  </si>
  <si>
    <t>5xxx</t>
  </si>
  <si>
    <t>Běžné výdaje celkem</t>
  </si>
  <si>
    <t>z toho opravy celkem</t>
  </si>
  <si>
    <t>Kapitálové výdaje celkem</t>
  </si>
  <si>
    <t>SPOZ celkem</t>
  </si>
  <si>
    <t>Činnosti knihovnické celkem</t>
  </si>
  <si>
    <t>3314</t>
  </si>
  <si>
    <t>3330</t>
  </si>
  <si>
    <t>Činnosti registrovaných církví a náboženských společností</t>
  </si>
  <si>
    <t>Dopravní obslužnost - příspěvek  KIDSOKu</t>
  </si>
  <si>
    <t>mandatorní výdaje</t>
  </si>
  <si>
    <t>Budovy, haly , stavby</t>
  </si>
  <si>
    <t>Pozemní komunikace opravy</t>
  </si>
  <si>
    <t>Pozemní komunikace investice</t>
  </si>
  <si>
    <t>Činnosti knihovnické opravy</t>
  </si>
  <si>
    <t>mandatorní</t>
  </si>
  <si>
    <t>M</t>
  </si>
  <si>
    <t>Horní hřiště opravy</t>
  </si>
  <si>
    <t>SOKOL opravy</t>
  </si>
  <si>
    <t>Nástavba nad obchod  investice</t>
  </si>
  <si>
    <t>Nebytové hospodářství náklady celkem</t>
  </si>
  <si>
    <t>Nebytové hospodářství opravy</t>
  </si>
  <si>
    <t>Nebytové hospodářství investice</t>
  </si>
  <si>
    <t>Veřejné osvětlení opravy</t>
  </si>
  <si>
    <t>Lokality Z4, Z5 investice</t>
  </si>
  <si>
    <t>Sběr a svoz komunálních odpadů celkem</t>
  </si>
  <si>
    <t>Veřejná zeleň náklady celkem</t>
  </si>
  <si>
    <t>Veřejná zeleň opravy</t>
  </si>
  <si>
    <t>Veřejná zeleň  investice</t>
  </si>
  <si>
    <t>SDH + JSDHopravy</t>
  </si>
  <si>
    <t>SDH + JSDH investice</t>
  </si>
  <si>
    <t>Sběr a svoz komunálních odpadů investice</t>
  </si>
  <si>
    <t>Zastupitelstvo náklady celkem</t>
  </si>
  <si>
    <t>6115</t>
  </si>
  <si>
    <t>Obecní úřad náklady celkem</t>
  </si>
  <si>
    <t>Obecní úřad opravy</t>
  </si>
  <si>
    <t>Služby peněžních ústavů celkem</t>
  </si>
  <si>
    <t>Pojištění  celkem</t>
  </si>
  <si>
    <t>Převod mezi účty  celkem</t>
  </si>
  <si>
    <t>vratky z voleb, příspěvky svazkům  celkem</t>
  </si>
  <si>
    <t>Daně  celkem</t>
  </si>
  <si>
    <t>*5171</t>
  </si>
  <si>
    <t>Dlouhodobý úvěr</t>
  </si>
  <si>
    <t>FINANCOVÁNÍ CELKEM</t>
  </si>
  <si>
    <t>BALANCE</t>
  </si>
  <si>
    <t>pískovna - těžaři + báňský úřad</t>
  </si>
  <si>
    <t>Úspora pro příští období</t>
  </si>
  <si>
    <t>Pozemní komunikace  celkem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</si>
  <si>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</si>
  <si>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</si>
  <si>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</si>
  <si>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</si>
  <si>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</si>
  <si>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</si>
  <si>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</si>
  <si>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>Finanční transfery</t>
  </si>
  <si>
    <t>Příjmy celkem</t>
  </si>
  <si>
    <t>Třída 5</t>
  </si>
  <si>
    <t>Běžné výdaje</t>
  </si>
  <si>
    <t>Třída 6</t>
  </si>
  <si>
    <t>Kapitálové výdaje</t>
  </si>
  <si>
    <t>Výdaje celkem</t>
  </si>
  <si>
    <t>Třída 8</t>
  </si>
  <si>
    <t>Příjmy z financování</t>
  </si>
  <si>
    <t>Financování celkem</t>
  </si>
  <si>
    <t>Balance</t>
  </si>
  <si>
    <t xml:space="preserve">Sňato: </t>
  </si>
  <si>
    <t>Návrh střednědobého výhledu rozpočtu obce Ondratice</t>
  </si>
  <si>
    <t xml:space="preserve">Návrh střednědobého výhledu </t>
  </si>
  <si>
    <t>Příjmy cekem</t>
  </si>
  <si>
    <t>Výdaje z financování</t>
  </si>
  <si>
    <t>podíl na běžných výdajích</t>
  </si>
  <si>
    <t>zmenit na 571.000,-</t>
  </si>
  <si>
    <t>REFORECAST</t>
  </si>
  <si>
    <t>5168</t>
  </si>
  <si>
    <t>Zpracování dat a služby související s infmor a kom.</t>
  </si>
  <si>
    <t>5213</t>
  </si>
  <si>
    <t>Vytvoření rezervy</t>
  </si>
  <si>
    <t>Krizové opatření</t>
  </si>
  <si>
    <t>lokalita Z5</t>
  </si>
  <si>
    <t>RO1</t>
  </si>
  <si>
    <t>5212</t>
  </si>
  <si>
    <t>5903</t>
  </si>
  <si>
    <t>Rezerva na krizová opatření</t>
  </si>
  <si>
    <t>Ochrana obyvatelstva</t>
  </si>
  <si>
    <t>521</t>
  </si>
  <si>
    <t>6130</t>
  </si>
  <si>
    <t>Pozemky</t>
  </si>
  <si>
    <t>skut 06</t>
  </si>
  <si>
    <t>Návrh RO2 - covid</t>
  </si>
  <si>
    <t>RO2</t>
  </si>
  <si>
    <t>RO2/RO1</t>
  </si>
  <si>
    <t>RO2-RO1</t>
  </si>
  <si>
    <t>Investiční přijaté transfery od krajů</t>
  </si>
  <si>
    <t>4222</t>
  </si>
  <si>
    <t>RO3</t>
  </si>
  <si>
    <t>Obecní úřad</t>
  </si>
  <si>
    <t>RO4</t>
  </si>
  <si>
    <t>Příjmy z vlastní činnosti jinde nespecifikované(dále j.n.</t>
  </si>
  <si>
    <t>Příjmy z prodeje ostatního hmotného dlouhodobého majetku</t>
  </si>
  <si>
    <t>prodej hasičské vozíku</t>
  </si>
  <si>
    <t>prodej hasičského auta AVIA</t>
  </si>
  <si>
    <t>2133</t>
  </si>
  <si>
    <t>Příjmy z pronájmu movitých věcí</t>
  </si>
  <si>
    <t>Platby daní a poplatků krajům,obcím a st.f (přihl.auta)</t>
  </si>
  <si>
    <t>Zpracování dat,  aktualizace, udr. popl.</t>
  </si>
  <si>
    <t>5363</t>
  </si>
  <si>
    <t>Úhrady sankcí jiným rozpočtům (pokuta)</t>
  </si>
  <si>
    <t>zemědělské pachty</t>
  </si>
  <si>
    <t>hospoda, sály (i SOKOL)</t>
  </si>
  <si>
    <t xml:space="preserve">ZEVAS </t>
  </si>
  <si>
    <t>do 30.11.</t>
  </si>
  <si>
    <t>Vystavěl</t>
  </si>
  <si>
    <t>1.10.</t>
  </si>
  <si>
    <t>splatné:</t>
  </si>
  <si>
    <t xml:space="preserve">Polách </t>
  </si>
  <si>
    <t>31.3.</t>
  </si>
  <si>
    <t>od 1.10.20: Orálek/Vystavěl</t>
  </si>
  <si>
    <t>změna RO4-RO3</t>
  </si>
  <si>
    <t xml:space="preserve">    </t>
  </si>
  <si>
    <t>RO5</t>
  </si>
  <si>
    <t>změna RO5-RO4</t>
  </si>
  <si>
    <t>5042</t>
  </si>
  <si>
    <t>Odměny za užití počítačových programů</t>
  </si>
  <si>
    <t>RO6</t>
  </si>
  <si>
    <t>změna RO6-RO5</t>
  </si>
  <si>
    <t>FINAL</t>
  </si>
  <si>
    <t>1385</t>
  </si>
  <si>
    <t>Dílčí daň z technických her</t>
  </si>
  <si>
    <t>2310</t>
  </si>
  <si>
    <t>Příjmy z prodeje krátkodob.majetku a drob.dlouhodob.majet</t>
  </si>
  <si>
    <t>0001</t>
  </si>
  <si>
    <t>plnění %</t>
  </si>
  <si>
    <t>schválený rozpočet 2020</t>
  </si>
  <si>
    <t>skutečnost 2020</t>
  </si>
  <si>
    <t>Rozpočet 2020 po změnách</t>
  </si>
  <si>
    <t>návrh</t>
  </si>
  <si>
    <t>změna pro R20</t>
  </si>
  <si>
    <t>změna proti skut20</t>
  </si>
  <si>
    <t>změna protio původnímu R20</t>
  </si>
  <si>
    <t>6114</t>
  </si>
  <si>
    <t xml:space="preserve">  </t>
  </si>
  <si>
    <t xml:space="preserve">             z toho: opravy a udržování</t>
  </si>
  <si>
    <t>Celkem daně od státu</t>
  </si>
  <si>
    <t xml:space="preserve">   </t>
  </si>
  <si>
    <t>Mgr.Bohuslav Koštanský v.r.</t>
  </si>
  <si>
    <t>starosta obce Ondratice</t>
  </si>
  <si>
    <t xml:space="preserve"> </t>
  </si>
  <si>
    <t>Rozpočet obce Ondratice pro rok 2021</t>
  </si>
  <si>
    <t>Střednědobý výhled rozpočtu obce Ondratice</t>
  </si>
  <si>
    <t>změna rozpisu č.1</t>
  </si>
  <si>
    <t>změna</t>
  </si>
  <si>
    <t>stav po změně</t>
  </si>
  <si>
    <t>Rozpočtové opatření č.1</t>
  </si>
  <si>
    <t>Rozpočtové opatření č.1 schváleno rozhodnutím starosty dne 6.5.2021</t>
  </si>
  <si>
    <t>schválený rozpočet 2021</t>
  </si>
  <si>
    <t>změna rozpočtu</t>
  </si>
  <si>
    <t>stav rozpočtu po změně</t>
  </si>
  <si>
    <t>Rozpočet schválen zastupitelstvem obce Ondratice usnesením č. 4b) dne 26.3.2021</t>
  </si>
  <si>
    <t>5299</t>
  </si>
  <si>
    <t>Ostatní záležitosti civilní připravenosti na krizové stavy</t>
  </si>
  <si>
    <t>Rozpočtové opatření č.2 schváleno rozhodnutím starosty dne 29.6.2021</t>
  </si>
  <si>
    <t>Rozpočtové opatření č.2</t>
  </si>
  <si>
    <t>Vyvěšeno na úřední desce:   30.6.2021</t>
  </si>
  <si>
    <t>Vyvěšeno na úřední desce:   30.7.2021</t>
  </si>
  <si>
    <t>Rozpočtové opatření č.3 schváleno rozhodnutím starosty dne 30.7.2021</t>
  </si>
  <si>
    <t>Rozpočtové opatření č.3</t>
  </si>
  <si>
    <t>3114</t>
  </si>
  <si>
    <t>5221</t>
  </si>
  <si>
    <t>Neinvestiční transfery obecně prospěšným spole</t>
  </si>
  <si>
    <t>Základní školy pro žáky se speciálními vzdělávacíámi potřebami</t>
  </si>
  <si>
    <t>Drobný dlouhodobý hmotný majetek</t>
  </si>
  <si>
    <t>změna rozpisu 3.8.21</t>
  </si>
  <si>
    <t>Rozpočtové opatření č.4</t>
  </si>
  <si>
    <t>2142</t>
  </si>
  <si>
    <t>Příjmy z podílů na zisku a dividend</t>
  </si>
  <si>
    <t>Rozpočtové opatření č.4 schváleno usnesením zastupitelstva dne 12.11.2021</t>
  </si>
  <si>
    <t>Vyvěšeno na úřední desce:   16.11.2021</t>
  </si>
  <si>
    <t>změna rozpisu 21.12.21</t>
  </si>
  <si>
    <t>3636</t>
  </si>
  <si>
    <t>Platby daní  krajům, obcím a státním institucím</t>
  </si>
  <si>
    <t>5909</t>
  </si>
  <si>
    <t>Ostatní neinvestiční výdaje jinde nazařazené</t>
  </si>
  <si>
    <t>FIN/ROZP</t>
  </si>
  <si>
    <t>22/21FIN</t>
  </si>
  <si>
    <t>22/21 rozp</t>
  </si>
  <si>
    <t>návrh/FIN21</t>
  </si>
  <si>
    <t>Rozpočet 2021 po změnách</t>
  </si>
  <si>
    <t>skutečnost 2021</t>
  </si>
  <si>
    <t>R22/R21</t>
  </si>
  <si>
    <t>R22/S21</t>
  </si>
  <si>
    <t>Územní rozvoj</t>
  </si>
  <si>
    <t>na období 2023 - 2024</t>
  </si>
  <si>
    <t xml:space="preserve">Vyvěšeno na úřední desce:   </t>
  </si>
  <si>
    <t>Rozpočet obce Ondratice pro rok 2022</t>
  </si>
  <si>
    <t>Rozpočet 2022</t>
  </si>
  <si>
    <t xml:space="preserve">Schváleno zastupitelstvem obce Ondratice usnesením č.  dne </t>
  </si>
  <si>
    <t xml:space="preserve">Vyvěšeno na úřední desce:  </t>
  </si>
  <si>
    <t>Schválený Rozpočet</t>
  </si>
  <si>
    <t>Schváleno zastupitelstvem obce Ondratice usnesením č.     Dne</t>
  </si>
  <si>
    <t>výtluky</t>
  </si>
  <si>
    <t>2329</t>
  </si>
  <si>
    <t>Ostatní nedaňové příjmy jinde nezařazené</t>
  </si>
  <si>
    <t>CELKEM</t>
  </si>
  <si>
    <t>Obchůdek+</t>
  </si>
  <si>
    <t>podpora LUNA</t>
  </si>
  <si>
    <t>Převody mezi účty</t>
  </si>
  <si>
    <t>OLkraj</t>
  </si>
  <si>
    <t>elektrocentrála</t>
  </si>
  <si>
    <t>JSDH</t>
  </si>
  <si>
    <t>nový traktor</t>
  </si>
  <si>
    <t>Veřejná zeleň</t>
  </si>
  <si>
    <t>aktiualizace územního plánu</t>
  </si>
  <si>
    <t>materiály topení hospoda</t>
  </si>
  <si>
    <t>MMR</t>
  </si>
  <si>
    <t>oprava střechy</t>
  </si>
  <si>
    <t>zájezd</t>
  </si>
  <si>
    <t>SPOZ</t>
  </si>
  <si>
    <t>PD Mostek Chaloupky</t>
  </si>
  <si>
    <t>srážka Kozizól + zatrubnění</t>
  </si>
  <si>
    <t>oprava výtluků</t>
  </si>
  <si>
    <t>žádost o dotaci OL</t>
  </si>
  <si>
    <t>3x biokontejner</t>
  </si>
  <si>
    <t>po odečtení 85% dotace MAS</t>
  </si>
  <si>
    <t>Lokality Z4, Z5</t>
  </si>
  <si>
    <t>PD sítě</t>
  </si>
  <si>
    <t>80000 na parcelu</t>
  </si>
  <si>
    <t>dětské hřiště</t>
  </si>
  <si>
    <t>doplnit částku z žádosti o dotaci</t>
  </si>
  <si>
    <t>paragraf</t>
  </si>
  <si>
    <t>Nadace ČEZ - žádosti nevyhověno</t>
  </si>
  <si>
    <t>schváleno</t>
  </si>
  <si>
    <t>1345</t>
  </si>
  <si>
    <t xml:space="preserve">Příjem z poplatku za obecní systém odpadového hospodářství a příjem z poplatku za odkládání komunálního odpadu z nemovité věci. </t>
  </si>
  <si>
    <t>Ostatní neinvestiční transfery rozpočtům územní úrovně</t>
  </si>
  <si>
    <t>5219</t>
  </si>
  <si>
    <t>Neinvestiční transfery fundacím, ústavům a obecně prospěšným společnostem</t>
  </si>
  <si>
    <t>změna rozpisu č.2</t>
  </si>
  <si>
    <t>Přijaté neinvestiční příspěvky a náhrady</t>
  </si>
  <si>
    <t>4213</t>
  </si>
  <si>
    <t>Investiční přijaté transfery ze státních fondů</t>
  </si>
  <si>
    <t>5141</t>
  </si>
  <si>
    <t>Úroky vlastní</t>
  </si>
  <si>
    <t>změna rozpisu č.3</t>
  </si>
  <si>
    <t>přečerpání k 17.10.</t>
  </si>
  <si>
    <t>změna rozpisu č.4</t>
  </si>
  <si>
    <t>změna rozpisu č.5</t>
  </si>
  <si>
    <t>6124</t>
  </si>
  <si>
    <t>Pěstitelské celky trvalých porostů</t>
  </si>
  <si>
    <t>Návrh rozpočtu obce Ondratice pro rok 2023</t>
  </si>
  <si>
    <t>na období 2024 - 2025</t>
  </si>
  <si>
    <t>bude splaceno k 31.3.2029</t>
  </si>
  <si>
    <t>návrh rozpočtu 2023</t>
  </si>
  <si>
    <t>R23/R22</t>
  </si>
  <si>
    <t>schválený rozpočet 2022</t>
  </si>
  <si>
    <t>Rozpočet 2022 po změnách</t>
  </si>
  <si>
    <t>skutečnost 2022</t>
  </si>
  <si>
    <t>R23/S22</t>
  </si>
  <si>
    <t>RO7</t>
  </si>
  <si>
    <t>1382</t>
  </si>
  <si>
    <t>Příjem ze zrušeného odvodu z loterií a podobných her kromě odvodu z výherních hracích přístrojů</t>
  </si>
  <si>
    <t>Uhrazené splátky dlouhodobého úvěrupřijatých půjčených prostředků</t>
  </si>
  <si>
    <t>návrh/FIN22</t>
  </si>
  <si>
    <t>6114-8</t>
  </si>
  <si>
    <t>6118</t>
  </si>
  <si>
    <t>5323</t>
  </si>
  <si>
    <t>Neinvenstiční transfery krajům</t>
  </si>
  <si>
    <t>starosta</t>
  </si>
  <si>
    <t>místostarosta</t>
  </si>
  <si>
    <t>předseda FK</t>
  </si>
  <si>
    <t>předseda KK</t>
  </si>
  <si>
    <t>členové</t>
  </si>
  <si>
    <t>6129</t>
  </si>
  <si>
    <t>Nákup dlouhodobé hmotného majetku jinde nezařazeného</t>
  </si>
  <si>
    <t xml:space="preserve">Skutečnost </t>
  </si>
  <si>
    <t xml:space="preserve">Návrh rozpočtu </t>
  </si>
  <si>
    <t>Vyvěšeno na úřední desce: 8.2.2023</t>
  </si>
  <si>
    <t>Vyvěšeno na úřední desce:  8.2.2023</t>
  </si>
  <si>
    <t>Rozpočet obce Ondratice pro rok 2023</t>
  </si>
  <si>
    <t>Rozpočet 2023</t>
  </si>
  <si>
    <t>Vyvěšeno na úřední desce: 1.3.2023</t>
  </si>
  <si>
    <t>Schváleno zastupitelstvem obce Ondratice usnesením č. 5/1/2023 dne 24.2.2023</t>
  </si>
  <si>
    <t xml:space="preserve">Rozpočet </t>
  </si>
  <si>
    <t>Střednědobý výhled rozpočtu</t>
  </si>
  <si>
    <t>Příjem z prodeje ostatního hmotného dlouhodobého majetku</t>
  </si>
  <si>
    <t>6221</t>
  </si>
  <si>
    <t>Humanitární zahraniční pomoc přímá</t>
  </si>
  <si>
    <t>4113</t>
  </si>
  <si>
    <t>Rozpočtové opatření č.1 schváleno rozhodnutím starosty dne 27.2.2023</t>
  </si>
  <si>
    <t>Rozpočtové opatření č.2 schváleno rozhodnutím starosty dne 16.3.2023</t>
  </si>
  <si>
    <t>Vyvěšeno na úřední desce: 17.3.2023</t>
  </si>
  <si>
    <t>Vyvěšeno na úřední desce: 3.3.2023</t>
  </si>
  <si>
    <t>RO 3</t>
  </si>
  <si>
    <t>Rozpočtové opatření č.3 schváleno usnesením zastupitelstva  č. 8/3/2023 dne 28.4.2023</t>
  </si>
  <si>
    <t>2420</t>
  </si>
  <si>
    <t>5622</t>
  </si>
  <si>
    <t>Splátky půjčených prostředků od obecně prospěšných spol. a podobných subjektů</t>
  </si>
  <si>
    <t>Neinvestiční půjčené prostředky spolkům</t>
  </si>
  <si>
    <t>Stavby</t>
  </si>
  <si>
    <t>Rozpočtové opatření č.3 - návrh</t>
  </si>
  <si>
    <t>Vyvěšeno na úřední desce: 12.4.2023</t>
  </si>
  <si>
    <t>Vyvěšeno na úřední desce: 3.5.2023</t>
  </si>
  <si>
    <t>Sňato: 3.5.2023</t>
  </si>
  <si>
    <t>změna rozpisu</t>
  </si>
  <si>
    <t>Příjem z poskytování služeb, výrobků, prací, výkonů a práv</t>
  </si>
  <si>
    <t>Rozpočtové opatření č.4 schváleno rozhodnutím starosty dne 20.5.2023</t>
  </si>
  <si>
    <t>Vyvěšeno na úřední desce: 14.6.2023</t>
  </si>
  <si>
    <t>Rozpočtové opatření č.5</t>
  </si>
  <si>
    <t>200</t>
  </si>
  <si>
    <t>Vyvěšeno na úřední desce: 14.8.2023</t>
  </si>
  <si>
    <t>Rozpočtové opatření č.5 schváleno rozhodnutím starosty dne 17.7.2023</t>
  </si>
  <si>
    <t xml:space="preserve">Rozpočtové opatření č.6 </t>
  </si>
  <si>
    <t>Rozpočtové opatření č.6 schváleno usnesením zastupitelstva  č. 6/6/2023 dne 21.9.2023</t>
  </si>
  <si>
    <t>Vyvěšeno na úřední desce: 25.9.2023</t>
  </si>
  <si>
    <t>3326</t>
  </si>
  <si>
    <t>Pořízení, zachování a obnova hodnot místního kulturního, národního a historického povědomí</t>
  </si>
  <si>
    <t>5149</t>
  </si>
  <si>
    <t>Ostatní úroky a ostatní finanční výdaje</t>
  </si>
  <si>
    <t>Příjem z pronájmu nebo pachtu ostatních nemovitých věcí a jejich částí</t>
  </si>
  <si>
    <t>Rozpočtové opatření č.7</t>
  </si>
  <si>
    <t>Rozpočtové opatření č.7 schváleno rozhodnutím starosty dne 27.11.2023</t>
  </si>
  <si>
    <t>Vyvěšeno na úřední desce: 15.12.2023</t>
  </si>
  <si>
    <t>na období 2025 - 2026</t>
  </si>
  <si>
    <t>Návrh rozpočtu obce Ondratice pro rok 2024</t>
  </si>
  <si>
    <t>schválený rozpočet 2023</t>
  </si>
  <si>
    <t>Rozpočet 2023 po změnách</t>
  </si>
  <si>
    <t>skutečnost 2023</t>
  </si>
  <si>
    <t>návrh rozpočtu 2024</t>
  </si>
  <si>
    <t>R24/R23</t>
  </si>
  <si>
    <t>R24/S23</t>
  </si>
  <si>
    <t>Termínovaný účet - vklad</t>
  </si>
  <si>
    <t>Termínovaný vklad - výběr</t>
  </si>
  <si>
    <t>RO8</t>
  </si>
  <si>
    <t xml:space="preserve">Volby </t>
  </si>
  <si>
    <t>Volby prezidenta republiky</t>
  </si>
  <si>
    <t>Volby do Parlamentu ČR (PS nebo Senát)</t>
  </si>
  <si>
    <t>Volby do zastupitelstev USC (obec nebo kraj)</t>
  </si>
  <si>
    <t>Ostatní sportovní činnost  (SOKOL)</t>
  </si>
  <si>
    <t>Vyvěšeno na úřední desce:  12.2.2024</t>
  </si>
  <si>
    <t>Vyvěšeno na úřední desce: 5.3.2024</t>
  </si>
  <si>
    <t>Rozpočet obce Ondratice pro rok 2024</t>
  </si>
  <si>
    <t>schválený rozpočet 2024</t>
  </si>
  <si>
    <t>Vyvěšeno na úřední desce:  5.3.2024</t>
  </si>
  <si>
    <t>RO</t>
  </si>
  <si>
    <t>Rozpočet schválen zastupitelstvem usnesením 6/1/2024 dne 1.3.2024</t>
  </si>
  <si>
    <t>vyvěšeno na úřední desce: 5.3.2024</t>
  </si>
  <si>
    <t>Rozpočtové opatření č.1 schváleno rozhodnutím starosty dne 26.3.2024</t>
  </si>
  <si>
    <t>vyvěšeno na úřední desce: 17.4.2024</t>
  </si>
  <si>
    <t>RO1_24</t>
  </si>
  <si>
    <t>RO2_24</t>
  </si>
  <si>
    <t>2122</t>
  </si>
  <si>
    <t>Sběr a zpracování druhotných surovin</t>
  </si>
  <si>
    <t>Rozpočtové opatření č.2 schváleno rozhodnutím starosty dne 26.4.2024</t>
  </si>
  <si>
    <t>vyvěšeno na úřední desce: 17.5.2024</t>
  </si>
  <si>
    <t>2115</t>
  </si>
  <si>
    <t>Úspora energie a obnovitelné zdroje</t>
  </si>
  <si>
    <t>Střednědobý výhled rozpočtu byl schválen zastupitelstvem obce usnesením č. 6/1/2024 dne 1.3.2024</t>
  </si>
  <si>
    <t>Třída 8: úvěr na traktor KIOTI ve výši ….. , měsíční splátka… a bude splacen k 31.3.2029</t>
  </si>
  <si>
    <t>RO3_24</t>
  </si>
  <si>
    <t>Rozpočtové opatření č.3 schváleno rozhodnutím starosty dne 28.8.2024</t>
  </si>
  <si>
    <t>vyvěšeno na úřední desce: 23.9.2024</t>
  </si>
  <si>
    <t>RO4_24</t>
  </si>
  <si>
    <t>0002</t>
  </si>
  <si>
    <t>0003</t>
  </si>
  <si>
    <t>1386</t>
  </si>
  <si>
    <t>Příjem z daně z hazardních her s výjimkou technických her neprovozovaných prostřednictvím internetu</t>
  </si>
  <si>
    <t>1387</t>
  </si>
  <si>
    <t>Příjem z daně z technických her neprovozovaných prostřednictvím internetu</t>
  </si>
  <si>
    <t>Rozpočtové opatření č.4 schváleno rozhodnutím starosty dne 20.11.2024</t>
  </si>
  <si>
    <t>vyvěšeno na úřední desce: 27.11.2024</t>
  </si>
  <si>
    <t>na období 2026 - 2027</t>
  </si>
  <si>
    <t xml:space="preserve">Třída 8: </t>
  </si>
  <si>
    <t>úvěr na traktor KIOTI ve výši 1.620.000,- Kč, měsíční splátka 20.062,- a bude splacen k 31.3.2029</t>
  </si>
  <si>
    <t>Návrh Rozpočtu obce Ondratice pro rok 2025</t>
  </si>
  <si>
    <t>Rozpočet 2024 po změnách</t>
  </si>
  <si>
    <t>skutečnost 2024</t>
  </si>
  <si>
    <t>R25/R24</t>
  </si>
  <si>
    <t>R25/S24</t>
  </si>
  <si>
    <t>návrh rozpočtu 2025</t>
  </si>
  <si>
    <t>Příjem sankčních plateb přijatých od jiných osob</t>
  </si>
  <si>
    <t xml:space="preserve">dokončení boudy - pulty, zprovoznění vody </t>
  </si>
  <si>
    <t>Čerpání úveru</t>
  </si>
  <si>
    <t>Uhrazené splátky krátkodobého přijatého úvěru</t>
  </si>
  <si>
    <t xml:space="preserve">                           </t>
  </si>
  <si>
    <t xml:space="preserve">úvěr na výstavbu objektu Dětské skupiny Ondratice ve výši 20.000.000,-Kč,který bude splacen do 31.12.2026 z dotace </t>
  </si>
  <si>
    <t>dohodnuto sníženi na 25% pro rok 2025</t>
  </si>
  <si>
    <t>Vyvěšeno na úřední desce:  11.03.2025</t>
  </si>
  <si>
    <t>Vyvěšeno na úřední desce: 11.3.2025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</si>
</sst>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0.0%"/>
  </numFmts>
  <fonts count="4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afom"/>
      <charset val="238"/>
    </font>
    <font>
      <b/>
      <sz val="12"/>
      <color theme="1"/>
      <name val="Tafom"/>
      <charset val="238"/>
    </font>
    <font>
      <b/>
      <sz val="18"/>
      <color theme="1"/>
      <name val="Tafom"/>
      <charset val="238"/>
    </font>
    <font>
      <sz val="11"/>
      <color theme="1"/>
      <name val="Tafom"/>
      <charset val="238"/>
    </font>
    <font>
      <sz val="12"/>
      <color theme="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Tafom"/>
      <charset val="238"/>
    </font>
    <font>
      <sz val="11"/>
      <color theme="1"/>
      <name val="Calibri"/>
      <family val="2"/>
      <scheme val="minor"/>
    </font>
    <font>
      <b/>
      <i/>
      <sz val="18"/>
      <color theme="1"/>
      <name val="Tafom"/>
      <charset val="238"/>
    </font>
    <font>
      <i/>
      <sz val="12"/>
      <color theme="1"/>
      <name val="Tafom"/>
      <charset val="238"/>
    </font>
    <font>
      <sz val="12"/>
      <color theme="1"/>
      <name val="Tafo"/>
      <charset val="238"/>
    </font>
    <font>
      <b/>
      <sz val="11"/>
      <color theme="1"/>
      <name val="Tafom"/>
      <charset val="238"/>
    </font>
    <font>
      <sz val="11"/>
      <color rgb="FF0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Tafom"/>
      <charset val="238"/>
    </font>
    <font>
      <b/>
      <sz val="7"/>
      <color rgb="FF000000"/>
      <name val="SansSerif"/>
      <family val="2"/>
    </font>
    <font>
      <b/>
      <i/>
      <sz val="11"/>
      <color theme="1"/>
      <name val="Tafom"/>
      <charset val="238"/>
    </font>
    <font>
      <i/>
      <sz val="11"/>
      <color theme="1"/>
      <name val="Tafom"/>
      <charset val="238"/>
    </font>
    <font>
      <sz val="8"/>
      <name val="Calibri"/>
      <family val="2"/>
      <charset val="238"/>
      <scheme val="minor"/>
    </font>
    <font>
      <b/>
      <sz val="13"/>
      <color theme="1"/>
      <name val="Tafom"/>
      <charset val="238"/>
    </font>
    <font>
      <sz val="11"/>
      <color indexed="81"/>
      <name val="Tahoma"/>
      <charset val="1"/>
    </font>
    <font>
      <b/>
      <sz val="11"/>
      <color indexed="81"/>
      <name val="Tahoma"/>
      <charset val="1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E5F2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</borders>
  <cellStyleXfs count="9">
    <xf numFmtId="0" fontId="0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5" fillId="0" borderId="0"/>
    <xf numFmtId="44" fontId="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</cellStyleXfs>
  <cellXfs count="463">
    <xf numFmtId="0" fontId="0" fillId="0" borderId="0" xfId="0"/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" fontId="2" fillId="0" borderId="3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3" fontId="0" fillId="0" borderId="0" xfId="0" applyNumberFormat="1"/>
    <xf numFmtId="9" fontId="0" fillId="0" borderId="0" xfId="1" applyFont="1"/>
    <xf numFmtId="165" fontId="0" fillId="0" borderId="0" xfId="1" applyNumberFormat="1" applyFont="1"/>
    <xf numFmtId="49" fontId="2" fillId="3" borderId="10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left"/>
    </xf>
    <xf numFmtId="3" fontId="0" fillId="3" borderId="11" xfId="0" applyNumberFormat="1" applyFill="1" applyBorder="1"/>
    <xf numFmtId="4" fontId="2" fillId="3" borderId="12" xfId="0" applyNumberFormat="1" applyFont="1" applyFill="1" applyBorder="1" applyAlignment="1">
      <alignment horizontal="right"/>
    </xf>
    <xf numFmtId="4" fontId="2" fillId="3" borderId="11" xfId="0" applyNumberFormat="1" applyFont="1" applyFill="1" applyBorder="1" applyAlignment="1">
      <alignment horizontal="right"/>
    </xf>
    <xf numFmtId="165" fontId="0" fillId="3" borderId="11" xfId="1" applyNumberFormat="1" applyFont="1" applyFill="1" applyBorder="1"/>
    <xf numFmtId="49" fontId="2" fillId="3" borderId="11" xfId="0" applyNumberFormat="1" applyFont="1" applyFill="1" applyBorder="1" applyAlignment="1">
      <alignment horizontal="center"/>
    </xf>
    <xf numFmtId="49" fontId="2" fillId="3" borderId="11" xfId="0" applyNumberFormat="1" applyFont="1" applyFill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3" borderId="10" xfId="0" applyNumberFormat="1" applyFont="1" applyFill="1" applyBorder="1" applyAlignment="1">
      <alignment horizontal="right"/>
    </xf>
    <xf numFmtId="4" fontId="6" fillId="3" borderId="11" xfId="0" applyNumberFormat="1" applyFont="1" applyFill="1" applyBorder="1" applyAlignment="1">
      <alignment horizontal="right"/>
    </xf>
    <xf numFmtId="0" fontId="7" fillId="0" borderId="0" xfId="0" applyFont="1"/>
    <xf numFmtId="49" fontId="8" fillId="0" borderId="1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9" fillId="0" borderId="0" xfId="0" applyFont="1"/>
    <xf numFmtId="3" fontId="2" fillId="0" borderId="0" xfId="0" applyNumberFormat="1" applyFont="1" applyAlignment="1">
      <alignment horizontal="right"/>
    </xf>
    <xf numFmtId="49" fontId="2" fillId="0" borderId="1" xfId="2" applyNumberFormat="1" applyFont="1" applyBorder="1" applyAlignment="1">
      <alignment horizontal="left"/>
    </xf>
    <xf numFmtId="49" fontId="2" fillId="0" borderId="1" xfId="2" applyNumberFormat="1" applyFont="1" applyBorder="1" applyAlignment="1">
      <alignment horizontal="center"/>
    </xf>
    <xf numFmtId="0" fontId="0" fillId="6" borderId="0" xfId="0" applyFill="1"/>
    <xf numFmtId="3" fontId="0" fillId="5" borderId="0" xfId="0" applyNumberFormat="1" applyFill="1"/>
    <xf numFmtId="3" fontId="2" fillId="0" borderId="1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center"/>
    </xf>
    <xf numFmtId="3" fontId="11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0" fillId="5" borderId="0" xfId="0" applyFill="1"/>
    <xf numFmtId="0" fontId="9" fillId="5" borderId="0" xfId="0" applyFont="1" applyFill="1"/>
    <xf numFmtId="49" fontId="2" fillId="8" borderId="11" xfId="0" applyNumberFormat="1" applyFont="1" applyFill="1" applyBorder="1" applyAlignment="1">
      <alignment horizontal="center"/>
    </xf>
    <xf numFmtId="49" fontId="2" fillId="8" borderId="11" xfId="0" applyNumberFormat="1" applyFont="1" applyFill="1" applyBorder="1" applyAlignment="1">
      <alignment horizontal="left"/>
    </xf>
    <xf numFmtId="49" fontId="2" fillId="8" borderId="10" xfId="0" applyNumberFormat="1" applyFont="1" applyFill="1" applyBorder="1" applyAlignment="1">
      <alignment horizontal="left"/>
    </xf>
    <xf numFmtId="3" fontId="2" fillId="8" borderId="11" xfId="0" applyNumberFormat="1" applyFont="1" applyFill="1" applyBorder="1" applyAlignment="1">
      <alignment horizontal="right"/>
    </xf>
    <xf numFmtId="4" fontId="8" fillId="8" borderId="11" xfId="0" applyNumberFormat="1" applyFont="1" applyFill="1" applyBorder="1" applyAlignment="1">
      <alignment horizontal="right"/>
    </xf>
    <xf numFmtId="4" fontId="2" fillId="8" borderId="11" xfId="0" applyNumberFormat="1" applyFont="1" applyFill="1" applyBorder="1" applyAlignment="1">
      <alignment horizontal="right"/>
    </xf>
    <xf numFmtId="0" fontId="0" fillId="8" borderId="11" xfId="0" applyFill="1" applyBorder="1"/>
    <xf numFmtId="9" fontId="0" fillId="8" borderId="11" xfId="1" applyFont="1" applyFill="1" applyBorder="1"/>
    <xf numFmtId="3" fontId="0" fillId="8" borderId="11" xfId="0" applyNumberFormat="1" applyFill="1" applyBorder="1"/>
    <xf numFmtId="0" fontId="9" fillId="8" borderId="11" xfId="0" applyFont="1" applyFill="1" applyBorder="1"/>
    <xf numFmtId="49" fontId="2" fillId="9" borderId="11" xfId="0" applyNumberFormat="1" applyFont="1" applyFill="1" applyBorder="1" applyAlignment="1">
      <alignment horizontal="center"/>
    </xf>
    <xf numFmtId="49" fontId="2" fillId="9" borderId="11" xfId="0" applyNumberFormat="1" applyFont="1" applyFill="1" applyBorder="1" applyAlignment="1">
      <alignment horizontal="right"/>
    </xf>
    <xf numFmtId="3" fontId="2" fillId="9" borderId="11" xfId="0" applyNumberFormat="1" applyFont="1" applyFill="1" applyBorder="1" applyAlignment="1">
      <alignment horizontal="right"/>
    </xf>
    <xf numFmtId="4" fontId="8" fillId="9" borderId="11" xfId="0" applyNumberFormat="1" applyFont="1" applyFill="1" applyBorder="1" applyAlignment="1">
      <alignment horizontal="right"/>
    </xf>
    <xf numFmtId="4" fontId="2" fillId="9" borderId="11" xfId="0" applyNumberFormat="1" applyFont="1" applyFill="1" applyBorder="1" applyAlignment="1">
      <alignment horizontal="right"/>
    </xf>
    <xf numFmtId="0" fontId="0" fillId="9" borderId="11" xfId="0" applyFill="1" applyBorder="1"/>
    <xf numFmtId="9" fontId="0" fillId="9" borderId="11" xfId="1" applyFont="1" applyFill="1" applyBorder="1"/>
    <xf numFmtId="0" fontId="0" fillId="9" borderId="13" xfId="0" applyFill="1" applyBorder="1"/>
    <xf numFmtId="0" fontId="0" fillId="9" borderId="13" xfId="0" applyFill="1" applyBorder="1" applyAlignment="1">
      <alignment horizontal="right"/>
    </xf>
    <xf numFmtId="3" fontId="0" fillId="9" borderId="13" xfId="0" applyNumberFormat="1" applyFill="1" applyBorder="1"/>
    <xf numFmtId="0" fontId="9" fillId="9" borderId="13" xfId="0" applyFont="1" applyFill="1" applyBorder="1"/>
    <xf numFmtId="49" fontId="2" fillId="7" borderId="11" xfId="0" applyNumberFormat="1" applyFont="1" applyFill="1" applyBorder="1" applyAlignment="1">
      <alignment horizontal="center"/>
    </xf>
    <xf numFmtId="49" fontId="2" fillId="7" borderId="11" xfId="0" applyNumberFormat="1" applyFont="1" applyFill="1" applyBorder="1" applyAlignment="1">
      <alignment horizontal="left"/>
    </xf>
    <xf numFmtId="0" fontId="0" fillId="7" borderId="11" xfId="0" applyFill="1" applyBorder="1"/>
    <xf numFmtId="3" fontId="2" fillId="7" borderId="11" xfId="0" applyNumberFormat="1" applyFont="1" applyFill="1" applyBorder="1" applyAlignment="1">
      <alignment horizontal="right"/>
    </xf>
    <xf numFmtId="4" fontId="8" fillId="7" borderId="11" xfId="0" applyNumberFormat="1" applyFont="1" applyFill="1" applyBorder="1" applyAlignment="1">
      <alignment horizontal="right"/>
    </xf>
    <xf numFmtId="4" fontId="2" fillId="7" borderId="11" xfId="0" applyNumberFormat="1" applyFont="1" applyFill="1" applyBorder="1" applyAlignment="1">
      <alignment horizontal="right"/>
    </xf>
    <xf numFmtId="9" fontId="0" fillId="7" borderId="11" xfId="1" applyFont="1" applyFill="1" applyBorder="1"/>
    <xf numFmtId="3" fontId="0" fillId="7" borderId="11" xfId="0" applyNumberFormat="1" applyFill="1" applyBorder="1"/>
    <xf numFmtId="0" fontId="9" fillId="7" borderId="11" xfId="0" applyFont="1" applyFill="1" applyBorder="1"/>
    <xf numFmtId="0" fontId="14" fillId="0" borderId="14" xfId="0" applyFont="1" applyBorder="1"/>
    <xf numFmtId="0" fontId="14" fillId="0" borderId="15" xfId="0" applyFont="1" applyBorder="1"/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3" fontId="14" fillId="0" borderId="20" xfId="0" applyNumberFormat="1" applyFont="1" applyBorder="1" applyAlignment="1">
      <alignment vertical="center"/>
    </xf>
    <xf numFmtId="3" fontId="14" fillId="0" borderId="22" xfId="0" applyNumberFormat="1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3" fontId="14" fillId="0" borderId="23" xfId="0" applyNumberFormat="1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3" fontId="14" fillId="0" borderId="25" xfId="0" applyNumberFormat="1" applyFont="1" applyBorder="1" applyAlignment="1">
      <alignment vertical="center"/>
    </xf>
    <xf numFmtId="3" fontId="14" fillId="0" borderId="26" xfId="0" applyNumberFormat="1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3" fontId="15" fillId="0" borderId="27" xfId="0" applyNumberFormat="1" applyFont="1" applyBorder="1" applyAlignment="1">
      <alignment vertical="center"/>
    </xf>
    <xf numFmtId="3" fontId="15" fillId="0" borderId="28" xfId="0" applyNumberFormat="1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7" fillId="0" borderId="0" xfId="0" applyFont="1"/>
    <xf numFmtId="0" fontId="14" fillId="0" borderId="0" xfId="0" applyFont="1"/>
    <xf numFmtId="3" fontId="14" fillId="0" borderId="0" xfId="0" applyNumberFormat="1" applyFont="1"/>
    <xf numFmtId="0" fontId="14" fillId="2" borderId="6" xfId="0" applyFont="1" applyFill="1" applyBorder="1"/>
    <xf numFmtId="3" fontId="14" fillId="2" borderId="6" xfId="0" applyNumberFormat="1" applyFont="1" applyFill="1" applyBorder="1"/>
    <xf numFmtId="0" fontId="14" fillId="0" borderId="6" xfId="0" applyFont="1" applyBorder="1"/>
    <xf numFmtId="3" fontId="14" fillId="0" borderId="6" xfId="0" applyNumberFormat="1" applyFont="1" applyBorder="1"/>
    <xf numFmtId="0" fontId="15" fillId="0" borderId="9" xfId="0" applyFont="1" applyBorder="1"/>
    <xf numFmtId="0" fontId="15" fillId="0" borderId="9" xfId="0" applyFont="1" applyBorder="1" applyAlignment="1">
      <alignment horizontal="center" wrapText="1"/>
    </xf>
    <xf numFmtId="3" fontId="15" fillId="0" borderId="9" xfId="0" applyNumberFormat="1" applyFont="1" applyBorder="1" applyAlignment="1">
      <alignment horizontal="center" wrapText="1"/>
    </xf>
    <xf numFmtId="3" fontId="15" fillId="0" borderId="9" xfId="0" applyNumberFormat="1" applyFont="1" applyBorder="1"/>
    <xf numFmtId="0" fontId="15" fillId="3" borderId="6" xfId="0" applyFont="1" applyFill="1" applyBorder="1"/>
    <xf numFmtId="3" fontId="15" fillId="3" borderId="6" xfId="0" applyNumberFormat="1" applyFont="1" applyFill="1" applyBorder="1"/>
    <xf numFmtId="0" fontId="15" fillId="0" borderId="0" xfId="0" applyFont="1"/>
    <xf numFmtId="3" fontId="13" fillId="0" borderId="0" xfId="0" applyNumberFormat="1" applyFont="1"/>
    <xf numFmtId="3" fontId="13" fillId="0" borderId="7" xfId="0" applyNumberFormat="1" applyFont="1" applyBorder="1"/>
    <xf numFmtId="3" fontId="13" fillId="0" borderId="8" xfId="0" applyNumberFormat="1" applyFont="1" applyBorder="1"/>
    <xf numFmtId="3" fontId="1" fillId="0" borderId="0" xfId="0" applyNumberFormat="1" applyFont="1" applyAlignment="1">
      <alignment horizontal="right"/>
    </xf>
    <xf numFmtId="3" fontId="1" fillId="8" borderId="11" xfId="0" applyNumberFormat="1" applyFont="1" applyFill="1" applyBorder="1" applyAlignment="1">
      <alignment horizontal="right"/>
    </xf>
    <xf numFmtId="3" fontId="1" fillId="9" borderId="11" xfId="0" applyNumberFormat="1" applyFont="1" applyFill="1" applyBorder="1" applyAlignment="1">
      <alignment horizontal="right"/>
    </xf>
    <xf numFmtId="3" fontId="1" fillId="7" borderId="11" xfId="0" applyNumberFormat="1" applyFont="1" applyFill="1" applyBorder="1" applyAlignment="1">
      <alignment horizontal="right"/>
    </xf>
    <xf numFmtId="0" fontId="13" fillId="0" borderId="0" xfId="0" applyFont="1"/>
    <xf numFmtId="3" fontId="13" fillId="4" borderId="0" xfId="0" applyNumberFormat="1" applyFont="1" applyFill="1"/>
    <xf numFmtId="3" fontId="13" fillId="8" borderId="11" xfId="0" applyNumberFormat="1" applyFont="1" applyFill="1" applyBorder="1"/>
    <xf numFmtId="3" fontId="13" fillId="9" borderId="13" xfId="0" applyNumberFormat="1" applyFont="1" applyFill="1" applyBorder="1"/>
    <xf numFmtId="3" fontId="13" fillId="7" borderId="11" xfId="0" applyNumberFormat="1" applyFont="1" applyFill="1" applyBorder="1"/>
    <xf numFmtId="3" fontId="13" fillId="5" borderId="0" xfId="0" applyNumberFormat="1" applyFont="1" applyFill="1"/>
    <xf numFmtId="14" fontId="0" fillId="0" borderId="0" xfId="0" applyNumberFormat="1"/>
    <xf numFmtId="14" fontId="14" fillId="0" borderId="0" xfId="0" applyNumberFormat="1" applyFont="1"/>
    <xf numFmtId="0" fontId="0" fillId="4" borderId="11" xfId="0" applyFill="1" applyBorder="1"/>
    <xf numFmtId="4" fontId="0" fillId="4" borderId="11" xfId="0" applyNumberFormat="1" applyFill="1" applyBorder="1"/>
    <xf numFmtId="0" fontId="7" fillId="4" borderId="11" xfId="0" applyFont="1" applyFill="1" applyBorder="1"/>
    <xf numFmtId="3" fontId="0" fillId="4" borderId="11" xfId="0" applyNumberFormat="1" applyFill="1" applyBorder="1"/>
    <xf numFmtId="165" fontId="0" fillId="4" borderId="11" xfId="1" applyNumberFormat="1" applyFont="1" applyFill="1" applyBorder="1"/>
    <xf numFmtId="165" fontId="2" fillId="8" borderId="11" xfId="1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10" borderId="0" xfId="0" applyFill="1"/>
    <xf numFmtId="3" fontId="0" fillId="10" borderId="0" xfId="0" applyNumberFormat="1" applyFill="1"/>
    <xf numFmtId="17" fontId="0" fillId="0" borderId="0" xfId="0" applyNumberFormat="1"/>
    <xf numFmtId="4" fontId="0" fillId="0" borderId="32" xfId="0" applyNumberFormat="1" applyBorder="1"/>
    <xf numFmtId="3" fontId="2" fillId="3" borderId="11" xfId="0" applyNumberFormat="1" applyFont="1" applyFill="1" applyBorder="1" applyAlignment="1">
      <alignment horizontal="right"/>
    </xf>
    <xf numFmtId="0" fontId="0" fillId="4" borderId="0" xfId="0" applyFill="1"/>
    <xf numFmtId="9" fontId="0" fillId="0" borderId="0" xfId="0" applyNumberFormat="1"/>
    <xf numFmtId="3" fontId="19" fillId="0" borderId="0" xfId="0" applyNumberFormat="1" applyFont="1"/>
    <xf numFmtId="3" fontId="2" fillId="3" borderId="0" xfId="0" applyNumberFormat="1" applyFont="1" applyFill="1" applyAlignment="1">
      <alignment horizontal="right"/>
    </xf>
    <xf numFmtId="4" fontId="0" fillId="4" borderId="0" xfId="0" applyNumberFormat="1" applyFill="1"/>
    <xf numFmtId="9" fontId="19" fillId="0" borderId="0" xfId="0" applyNumberFormat="1" applyFont="1"/>
    <xf numFmtId="0" fontId="12" fillId="6" borderId="0" xfId="0" applyFont="1" applyFill="1" applyAlignment="1">
      <alignment horizontal="center" textRotation="90"/>
    </xf>
    <xf numFmtId="3" fontId="13" fillId="0" borderId="0" xfId="0" applyNumberFormat="1" applyFont="1" applyAlignment="1">
      <alignment wrapText="1"/>
    </xf>
    <xf numFmtId="3" fontId="0" fillId="0" borderId="0" xfId="0" applyNumberFormat="1" applyAlignment="1">
      <alignment wrapText="1"/>
    </xf>
    <xf numFmtId="3" fontId="21" fillId="6" borderId="0" xfId="0" applyNumberFormat="1" applyFont="1" applyFill="1" applyAlignment="1">
      <alignment horizontal="center" textRotation="90"/>
    </xf>
    <xf numFmtId="9" fontId="1" fillId="8" borderId="0" xfId="1" applyFont="1" applyFill="1" applyBorder="1" applyAlignment="1">
      <alignment horizontal="right"/>
    </xf>
    <xf numFmtId="9" fontId="1" fillId="7" borderId="0" xfId="1" applyFont="1" applyFill="1" applyBorder="1" applyAlignment="1">
      <alignment horizontal="right"/>
    </xf>
    <xf numFmtId="3" fontId="0" fillId="0" borderId="0" xfId="3" applyNumberFormat="1" applyFont="1"/>
    <xf numFmtId="3" fontId="13" fillId="11" borderId="0" xfId="0" applyNumberFormat="1" applyFont="1" applyFill="1"/>
    <xf numFmtId="0" fontId="0" fillId="12" borderId="0" xfId="0" applyFill="1"/>
    <xf numFmtId="3" fontId="0" fillId="12" borderId="0" xfId="0" applyNumberFormat="1" applyFill="1"/>
    <xf numFmtId="0" fontId="9" fillId="12" borderId="0" xfId="0" applyFont="1" applyFill="1"/>
    <xf numFmtId="3" fontId="13" fillId="12" borderId="0" xfId="0" applyNumberFormat="1" applyFont="1" applyFill="1"/>
    <xf numFmtId="165" fontId="13" fillId="12" borderId="32" xfId="1" applyNumberFormat="1" applyFont="1" applyFill="1" applyBorder="1"/>
    <xf numFmtId="3" fontId="13" fillId="3" borderId="11" xfId="0" applyNumberFormat="1" applyFont="1" applyFill="1" applyBorder="1"/>
    <xf numFmtId="3" fontId="1" fillId="3" borderId="11" xfId="0" applyNumberFormat="1" applyFont="1" applyFill="1" applyBorder="1" applyAlignment="1">
      <alignment horizontal="right"/>
    </xf>
    <xf numFmtId="4" fontId="1" fillId="3" borderId="11" xfId="0" applyNumberFormat="1" applyFont="1" applyFill="1" applyBorder="1" applyAlignment="1">
      <alignment horizontal="right"/>
    </xf>
    <xf numFmtId="3" fontId="2" fillId="9" borderId="0" xfId="0" applyNumberFormat="1" applyFont="1" applyFill="1" applyAlignment="1">
      <alignment horizontal="right"/>
    </xf>
    <xf numFmtId="4" fontId="8" fillId="9" borderId="0" xfId="0" applyNumberFormat="1" applyFont="1" applyFill="1" applyAlignment="1">
      <alignment horizontal="right"/>
    </xf>
    <xf numFmtId="4" fontId="2" fillId="9" borderId="0" xfId="0" applyNumberFormat="1" applyFont="1" applyFill="1" applyAlignment="1">
      <alignment horizontal="right"/>
    </xf>
    <xf numFmtId="0" fontId="0" fillId="9" borderId="0" xfId="0" applyFill="1"/>
    <xf numFmtId="3" fontId="1" fillId="7" borderId="0" xfId="0" applyNumberFormat="1" applyFont="1" applyFill="1" applyAlignment="1">
      <alignment horizontal="right"/>
    </xf>
    <xf numFmtId="9" fontId="0" fillId="7" borderId="0" xfId="1" applyFont="1" applyFill="1" applyBorder="1"/>
    <xf numFmtId="0" fontId="0" fillId="7" borderId="0" xfId="0" applyFill="1"/>
    <xf numFmtId="4" fontId="13" fillId="4" borderId="11" xfId="0" applyNumberFormat="1" applyFont="1" applyFill="1" applyBorder="1"/>
    <xf numFmtId="4" fontId="6" fillId="0" borderId="0" xfId="0" applyNumberFormat="1" applyFont="1" applyAlignment="1">
      <alignment horizontal="right"/>
    </xf>
    <xf numFmtId="9" fontId="0" fillId="0" borderId="0" xfId="1" applyFont="1" applyFill="1" applyBorder="1"/>
    <xf numFmtId="9" fontId="0" fillId="0" borderId="0" xfId="1" applyFont="1" applyFill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33" xfId="0" applyNumberFormat="1" applyBorder="1" applyAlignment="1">
      <alignment horizontal="left"/>
    </xf>
    <xf numFmtId="0" fontId="23" fillId="13" borderId="0" xfId="0" applyFont="1" applyFill="1"/>
    <xf numFmtId="3" fontId="22" fillId="13" borderId="0" xfId="0" applyNumberFormat="1" applyFont="1" applyFill="1"/>
    <xf numFmtId="3" fontId="13" fillId="13" borderId="0" xfId="0" applyNumberFormat="1" applyFont="1" applyFill="1"/>
    <xf numFmtId="3" fontId="23" fillId="13" borderId="0" xfId="0" applyNumberFormat="1" applyFont="1" applyFill="1"/>
    <xf numFmtId="3" fontId="23" fillId="0" borderId="0" xfId="0" applyNumberFormat="1" applyFont="1"/>
    <xf numFmtId="0" fontId="23" fillId="0" borderId="0" xfId="0" applyFont="1"/>
    <xf numFmtId="3" fontId="22" fillId="0" borderId="0" xfId="0" applyNumberFormat="1" applyFont="1"/>
    <xf numFmtId="0" fontId="22" fillId="0" borderId="0" xfId="0" applyFont="1"/>
    <xf numFmtId="4" fontId="0" fillId="0" borderId="0" xfId="0" applyNumberFormat="1"/>
    <xf numFmtId="3" fontId="13" fillId="3" borderId="0" xfId="0" applyNumberFormat="1" applyFont="1" applyFill="1"/>
    <xf numFmtId="3" fontId="1" fillId="3" borderId="0" xfId="0" applyNumberFormat="1" applyFont="1" applyFill="1" applyAlignment="1">
      <alignment horizontal="right"/>
    </xf>
    <xf numFmtId="1" fontId="13" fillId="0" borderId="0" xfId="0" applyNumberFormat="1" applyFont="1"/>
    <xf numFmtId="165" fontId="2" fillId="0" borderId="0" xfId="1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left" vertical="top"/>
    </xf>
    <xf numFmtId="49" fontId="2" fillId="0" borderId="42" xfId="0" applyNumberFormat="1" applyFont="1" applyBorder="1" applyAlignment="1">
      <alignment horizontal="center"/>
    </xf>
    <xf numFmtId="3" fontId="0" fillId="13" borderId="0" xfId="0" applyNumberFormat="1" applyFill="1"/>
    <xf numFmtId="3" fontId="13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165" fontId="27" fillId="0" borderId="0" xfId="1" applyNumberFormat="1" applyFont="1"/>
    <xf numFmtId="165" fontId="27" fillId="0" borderId="6" xfId="1" applyNumberFormat="1" applyFont="1" applyBorder="1"/>
    <xf numFmtId="165" fontId="27" fillId="0" borderId="43" xfId="1" applyNumberFormat="1" applyFont="1" applyBorder="1"/>
    <xf numFmtId="3" fontId="27" fillId="0" borderId="0" xfId="0" applyNumberFormat="1" applyFont="1"/>
    <xf numFmtId="3" fontId="24" fillId="0" borderId="0" xfId="0" applyNumberFormat="1" applyFont="1"/>
    <xf numFmtId="3" fontId="27" fillId="2" borderId="0" xfId="0" applyNumberFormat="1" applyFont="1" applyFill="1"/>
    <xf numFmtId="3" fontId="24" fillId="3" borderId="0" xfId="0" applyNumberFormat="1" applyFont="1" applyFill="1"/>
    <xf numFmtId="0" fontId="24" fillId="0" borderId="0" xfId="0" applyFont="1"/>
    <xf numFmtId="3" fontId="24" fillId="0" borderId="9" xfId="0" applyNumberFormat="1" applyFont="1" applyBorder="1"/>
    <xf numFmtId="165" fontId="27" fillId="0" borderId="9" xfId="1" applyNumberFormat="1" applyFont="1" applyBorder="1"/>
    <xf numFmtId="3" fontId="24" fillId="0" borderId="9" xfId="0" applyNumberFormat="1" applyFont="1" applyBorder="1" applyAlignment="1">
      <alignment horizontal="center" wrapText="1"/>
    </xf>
    <xf numFmtId="0" fontId="27" fillId="0" borderId="9" xfId="0" applyFont="1" applyBorder="1"/>
    <xf numFmtId="0" fontId="14" fillId="0" borderId="0" xfId="0" applyFont="1" applyAlignment="1">
      <alignment horizontal="center"/>
    </xf>
    <xf numFmtId="165" fontId="0" fillId="0" borderId="11" xfId="1" applyNumberFormat="1" applyFont="1" applyBorder="1"/>
    <xf numFmtId="3" fontId="18" fillId="0" borderId="31" xfId="0" applyNumberFormat="1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3" fontId="14" fillId="0" borderId="44" xfId="0" applyNumberFormat="1" applyFont="1" applyBorder="1" applyAlignment="1">
      <alignment vertical="center"/>
    </xf>
    <xf numFmtId="3" fontId="18" fillId="0" borderId="45" xfId="0" applyNumberFormat="1" applyFont="1" applyBorder="1" applyAlignment="1">
      <alignment vertical="center"/>
    </xf>
    <xf numFmtId="0" fontId="28" fillId="0" borderId="0" xfId="0" applyFont="1"/>
    <xf numFmtId="0" fontId="0" fillId="15" borderId="0" xfId="0" applyFill="1"/>
    <xf numFmtId="0" fontId="14" fillId="0" borderId="9" xfId="0" applyFont="1" applyBorder="1"/>
    <xf numFmtId="0" fontId="29" fillId="0" borderId="9" xfId="0" applyFont="1" applyBorder="1" applyAlignment="1">
      <alignment wrapText="1"/>
    </xf>
    <xf numFmtId="9" fontId="1" fillId="0" borderId="0" xfId="1" applyFont="1" applyFill="1" applyBorder="1" applyAlignment="1">
      <alignment horizontal="right"/>
    </xf>
    <xf numFmtId="165" fontId="0" fillId="0" borderId="0" xfId="1" applyNumberFormat="1" applyFont="1" applyFill="1"/>
    <xf numFmtId="0" fontId="14" fillId="0" borderId="0" xfId="0" applyFont="1" applyAlignment="1">
      <alignment horizontal="right"/>
    </xf>
    <xf numFmtId="3" fontId="17" fillId="0" borderId="0" xfId="0" applyNumberFormat="1" applyFont="1"/>
    <xf numFmtId="3" fontId="0" fillId="11" borderId="0" xfId="0" applyNumberFormat="1" applyFill="1"/>
    <xf numFmtId="0" fontId="0" fillId="11" borderId="0" xfId="0" applyFill="1"/>
    <xf numFmtId="0" fontId="0" fillId="16" borderId="0" xfId="0" applyFill="1"/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31" fillId="0" borderId="0" xfId="0" applyFont="1"/>
    <xf numFmtId="0" fontId="32" fillId="0" borderId="0" xfId="0" applyFont="1"/>
    <xf numFmtId="165" fontId="7" fillId="0" borderId="0" xfId="1" applyNumberFormat="1" applyFont="1"/>
    <xf numFmtId="165" fontId="7" fillId="8" borderId="11" xfId="1" applyNumberFormat="1" applyFont="1" applyFill="1" applyBorder="1"/>
    <xf numFmtId="165" fontId="7" fillId="7" borderId="11" xfId="1" applyNumberFormat="1" applyFont="1" applyFill="1" applyBorder="1"/>
    <xf numFmtId="0" fontId="32" fillId="16" borderId="0" xfId="0" applyFont="1" applyFill="1"/>
    <xf numFmtId="165" fontId="7" fillId="12" borderId="0" xfId="1" applyNumberFormat="1" applyFont="1" applyFill="1"/>
    <xf numFmtId="165" fontId="31" fillId="3" borderId="11" xfId="1" applyNumberFormat="1" applyFont="1" applyFill="1" applyBorder="1"/>
    <xf numFmtId="165" fontId="31" fillId="4" borderId="11" xfId="1" applyNumberFormat="1" applyFont="1" applyFill="1" applyBorder="1"/>
    <xf numFmtId="165" fontId="31" fillId="0" borderId="11" xfId="1" applyNumberFormat="1" applyFont="1" applyFill="1" applyBorder="1"/>
    <xf numFmtId="3" fontId="13" fillId="8" borderId="13" xfId="0" applyNumberFormat="1" applyFont="1" applyFill="1" applyBorder="1"/>
    <xf numFmtId="3" fontId="18" fillId="0" borderId="20" xfId="0" applyNumberFormat="1" applyFont="1" applyBorder="1" applyAlignment="1">
      <alignment horizontal="right" vertical="center"/>
    </xf>
    <xf numFmtId="0" fontId="14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3" fontId="14" fillId="0" borderId="46" xfId="0" applyNumberFormat="1" applyFont="1" applyBorder="1" applyAlignment="1">
      <alignment horizontal="right" vertical="center" wrapText="1"/>
    </xf>
    <xf numFmtId="3" fontId="14" fillId="0" borderId="47" xfId="0" applyNumberFormat="1" applyFont="1" applyBorder="1" applyAlignment="1">
      <alignment horizontal="right" vertical="center" wrapText="1"/>
    </xf>
    <xf numFmtId="3" fontId="14" fillId="0" borderId="14" xfId="0" applyNumberFormat="1" applyFont="1" applyBorder="1" applyAlignment="1">
      <alignment horizontal="right" vertical="center" wrapText="1"/>
    </xf>
    <xf numFmtId="3" fontId="14" fillId="0" borderId="48" xfId="0" applyNumberFormat="1" applyFont="1" applyBorder="1" applyAlignment="1">
      <alignment horizontal="right" vertical="center" wrapText="1"/>
    </xf>
    <xf numFmtId="3" fontId="14" fillId="0" borderId="16" xfId="0" applyNumberFormat="1" applyFont="1" applyBorder="1" applyAlignment="1">
      <alignment horizontal="right" vertical="center" wrapText="1"/>
    </xf>
    <xf numFmtId="3" fontId="14" fillId="0" borderId="23" xfId="0" applyNumberFormat="1" applyFont="1" applyBorder="1" applyAlignment="1">
      <alignment horizontal="right" vertical="center" wrapText="1"/>
    </xf>
    <xf numFmtId="3" fontId="14" fillId="0" borderId="44" xfId="0" applyNumberFormat="1" applyFont="1" applyBorder="1" applyAlignment="1">
      <alignment horizontal="right" vertical="center" wrapText="1"/>
    </xf>
    <xf numFmtId="3" fontId="14" fillId="0" borderId="20" xfId="0" applyNumberFormat="1" applyFont="1" applyBorder="1" applyAlignment="1">
      <alignment horizontal="right" vertical="center" wrapText="1"/>
    </xf>
    <xf numFmtId="3" fontId="14" fillId="0" borderId="22" xfId="0" applyNumberFormat="1" applyFont="1" applyBorder="1" applyAlignment="1">
      <alignment horizontal="right" vertical="center" wrapText="1"/>
    </xf>
    <xf numFmtId="3" fontId="14" fillId="0" borderId="25" xfId="0" applyNumberFormat="1" applyFont="1" applyBorder="1" applyAlignment="1">
      <alignment horizontal="right" vertical="center" wrapText="1"/>
    </xf>
    <xf numFmtId="3" fontId="14" fillId="0" borderId="4" xfId="0" applyNumberFormat="1" applyFont="1" applyBorder="1" applyAlignment="1">
      <alignment horizontal="right" vertical="center" wrapText="1"/>
    </xf>
    <xf numFmtId="3" fontId="14" fillId="0" borderId="26" xfId="0" applyNumberFormat="1" applyFont="1" applyBorder="1" applyAlignment="1">
      <alignment horizontal="right" vertical="center" wrapText="1"/>
    </xf>
    <xf numFmtId="3" fontId="18" fillId="0" borderId="25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3" fontId="18" fillId="0" borderId="26" xfId="0" applyNumberFormat="1" applyFont="1" applyBorder="1" applyAlignment="1">
      <alignment horizontal="right" vertical="center"/>
    </xf>
    <xf numFmtId="0" fontId="15" fillId="0" borderId="49" xfId="0" applyFont="1" applyBorder="1" applyAlignment="1">
      <alignment vertical="center"/>
    </xf>
    <xf numFmtId="3" fontId="15" fillId="0" borderId="50" xfId="0" applyNumberFormat="1" applyFont="1" applyBorder="1" applyAlignment="1">
      <alignment horizontal="right" vertical="center"/>
    </xf>
    <xf numFmtId="3" fontId="15" fillId="0" borderId="51" xfId="0" applyNumberFormat="1" applyFont="1" applyBorder="1" applyAlignment="1">
      <alignment horizontal="right" vertical="center"/>
    </xf>
    <xf numFmtId="3" fontId="15" fillId="0" borderId="52" xfId="0" applyNumberFormat="1" applyFont="1" applyBorder="1" applyAlignment="1">
      <alignment horizontal="right" vertical="center"/>
    </xf>
    <xf numFmtId="0" fontId="15" fillId="0" borderId="50" xfId="0" applyFont="1" applyBorder="1" applyAlignment="1">
      <alignment vertical="center"/>
    </xf>
    <xf numFmtId="3" fontId="18" fillId="0" borderId="47" xfId="0" applyNumberFormat="1" applyFont="1" applyBorder="1" applyAlignment="1">
      <alignment horizontal="right" vertical="center"/>
    </xf>
    <xf numFmtId="3" fontId="18" fillId="0" borderId="22" xfId="0" applyNumberFormat="1" applyFont="1" applyBorder="1" applyAlignment="1">
      <alignment horizontal="right" vertical="center"/>
    </xf>
    <xf numFmtId="0" fontId="15" fillId="0" borderId="53" xfId="0" applyFont="1" applyBorder="1" applyAlignment="1">
      <alignment vertical="center"/>
    </xf>
    <xf numFmtId="0" fontId="15" fillId="0" borderId="54" xfId="0" applyFont="1" applyBorder="1" applyAlignment="1">
      <alignment horizontal="left" vertical="center"/>
    </xf>
    <xf numFmtId="3" fontId="15" fillId="0" borderId="53" xfId="0" applyNumberFormat="1" applyFont="1" applyBorder="1" applyAlignment="1">
      <alignment horizontal="right" vertical="center"/>
    </xf>
    <xf numFmtId="3" fontId="15" fillId="0" borderId="55" xfId="0" applyNumberFormat="1" applyFont="1" applyBorder="1" applyAlignment="1">
      <alignment horizontal="right" vertical="center"/>
    </xf>
    <xf numFmtId="1" fontId="13" fillId="0" borderId="0" xfId="0" applyNumberFormat="1" applyFont="1" applyAlignment="1">
      <alignment horizontal="center"/>
    </xf>
    <xf numFmtId="49" fontId="2" fillId="7" borderId="13" xfId="0" applyNumberFormat="1" applyFont="1" applyFill="1" applyBorder="1" applyAlignment="1">
      <alignment horizontal="center"/>
    </xf>
    <xf numFmtId="49" fontId="2" fillId="7" borderId="13" xfId="0" applyNumberFormat="1" applyFont="1" applyFill="1" applyBorder="1" applyAlignment="1">
      <alignment horizontal="left"/>
    </xf>
    <xf numFmtId="3" fontId="1" fillId="7" borderId="13" xfId="0" applyNumberFormat="1" applyFont="1" applyFill="1" applyBorder="1" applyAlignment="1">
      <alignment horizontal="right"/>
    </xf>
    <xf numFmtId="9" fontId="0" fillId="7" borderId="13" xfId="1" applyFont="1" applyFill="1" applyBorder="1"/>
    <xf numFmtId="165" fontId="7" fillId="7" borderId="13" xfId="1" applyNumberFormat="1" applyFont="1" applyFill="1" applyBorder="1"/>
    <xf numFmtId="3" fontId="22" fillId="8" borderId="11" xfId="0" applyNumberFormat="1" applyFont="1" applyFill="1" applyBorder="1"/>
    <xf numFmtId="0" fontId="32" fillId="8" borderId="11" xfId="0" applyFont="1" applyFill="1" applyBorder="1"/>
    <xf numFmtId="0" fontId="0" fillId="0" borderId="0" xfId="0" applyAlignment="1">
      <alignment horizontal="left"/>
    </xf>
    <xf numFmtId="0" fontId="0" fillId="8" borderId="11" xfId="0" applyFill="1" applyBorder="1" applyAlignment="1">
      <alignment horizontal="left"/>
    </xf>
    <xf numFmtId="0" fontId="0" fillId="9" borderId="11" xfId="0" applyFill="1" applyBorder="1" applyAlignment="1">
      <alignment horizontal="left"/>
    </xf>
    <xf numFmtId="0" fontId="0" fillId="7" borderId="11" xfId="0" applyFill="1" applyBorder="1" applyAlignment="1">
      <alignment horizontal="left"/>
    </xf>
    <xf numFmtId="0" fontId="0" fillId="7" borderId="13" xfId="0" applyFill="1" applyBorder="1" applyAlignment="1">
      <alignment horizontal="left"/>
    </xf>
    <xf numFmtId="0" fontId="0" fillId="9" borderId="13" xfId="0" applyFill="1" applyBorder="1" applyAlignment="1">
      <alignment horizontal="left"/>
    </xf>
    <xf numFmtId="0" fontId="0" fillId="12" borderId="0" xfId="0" applyFill="1" applyAlignment="1">
      <alignment horizontal="left"/>
    </xf>
    <xf numFmtId="3" fontId="0" fillId="2" borderId="0" xfId="0" applyNumberFormat="1" applyFill="1"/>
    <xf numFmtId="3" fontId="0" fillId="7" borderId="0" xfId="0" applyNumberFormat="1" applyFill="1"/>
    <xf numFmtId="165" fontId="7" fillId="0" borderId="0" xfId="1" applyNumberFormat="1" applyFont="1" applyFill="1" applyBorder="1"/>
    <xf numFmtId="9" fontId="1" fillId="8" borderId="11" xfId="1" applyFont="1" applyFill="1" applyBorder="1" applyAlignment="1">
      <alignment horizontal="right"/>
    </xf>
    <xf numFmtId="0" fontId="22" fillId="0" borderId="11" xfId="0" applyFont="1" applyBorder="1"/>
    <xf numFmtId="3" fontId="22" fillId="13" borderId="11" xfId="0" applyNumberFormat="1" applyFont="1" applyFill="1" applyBorder="1"/>
    <xf numFmtId="0" fontId="0" fillId="0" borderId="11" xfId="0" applyBorder="1"/>
    <xf numFmtId="165" fontId="2" fillId="0" borderId="11" xfId="1" applyNumberFormat="1" applyFont="1" applyFill="1" applyBorder="1" applyAlignment="1">
      <alignment horizontal="right"/>
    </xf>
    <xf numFmtId="0" fontId="0" fillId="15" borderId="11" xfId="0" applyFill="1" applyBorder="1"/>
    <xf numFmtId="0" fontId="32" fillId="0" borderId="11" xfId="0" applyFont="1" applyBorder="1"/>
    <xf numFmtId="3" fontId="2" fillId="11" borderId="0" xfId="0" applyNumberFormat="1" applyFont="1" applyFill="1" applyAlignment="1">
      <alignment horizontal="right"/>
    </xf>
    <xf numFmtId="3" fontId="13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13" fillId="0" borderId="8" xfId="0" applyNumberFormat="1" applyFont="1" applyBorder="1" applyAlignment="1">
      <alignment wrapText="1"/>
    </xf>
    <xf numFmtId="0" fontId="0" fillId="10" borderId="0" xfId="0" applyFill="1" applyAlignment="1">
      <alignment wrapText="1"/>
    </xf>
    <xf numFmtId="0" fontId="13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3" fillId="13" borderId="0" xfId="0" applyFont="1" applyFill="1" applyAlignment="1">
      <alignment wrapText="1"/>
    </xf>
    <xf numFmtId="0" fontId="13" fillId="0" borderId="0" xfId="0" applyFont="1" applyAlignment="1">
      <alignment horizontal="center" vertical="center" wrapText="1"/>
    </xf>
    <xf numFmtId="0" fontId="0" fillId="15" borderId="0" xfId="0" applyFill="1" applyAlignment="1">
      <alignment wrapText="1"/>
    </xf>
    <xf numFmtId="3" fontId="13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0" fontId="32" fillId="0" borderId="0" xfId="0" applyFont="1" applyAlignment="1">
      <alignment wrapText="1"/>
    </xf>
    <xf numFmtId="3" fontId="13" fillId="11" borderId="0" xfId="0" applyNumberFormat="1" applyFont="1" applyFill="1" applyAlignment="1">
      <alignment horizontal="center" wrapText="1"/>
    </xf>
    <xf numFmtId="3" fontId="20" fillId="0" borderId="0" xfId="0" applyNumberFormat="1" applyFont="1" applyAlignment="1">
      <alignment horizontal="center"/>
    </xf>
    <xf numFmtId="3" fontId="1" fillId="0" borderId="11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3" fontId="13" fillId="0" borderId="11" xfId="0" applyNumberFormat="1" applyFont="1" applyBorder="1"/>
    <xf numFmtId="3" fontId="13" fillId="0" borderId="13" xfId="0" applyNumberFormat="1" applyFont="1" applyBorder="1"/>
    <xf numFmtId="3" fontId="2" fillId="8" borderId="0" xfId="0" applyNumberFormat="1" applyFont="1" applyFill="1" applyAlignment="1">
      <alignment horizontal="right"/>
    </xf>
    <xf numFmtId="4" fontId="8" fillId="8" borderId="0" xfId="0" applyNumberFormat="1" applyFont="1" applyFill="1" applyAlignment="1">
      <alignment horizontal="right"/>
    </xf>
    <xf numFmtId="165" fontId="2" fillId="8" borderId="0" xfId="1" applyNumberFormat="1" applyFont="1" applyFill="1" applyBorder="1" applyAlignment="1">
      <alignment horizontal="right"/>
    </xf>
    <xf numFmtId="0" fontId="0" fillId="8" borderId="0" xfId="0" applyFill="1"/>
    <xf numFmtId="3" fontId="1" fillId="8" borderId="0" xfId="0" applyNumberFormat="1" applyFont="1" applyFill="1" applyAlignment="1">
      <alignment horizontal="right"/>
    </xf>
    <xf numFmtId="9" fontId="0" fillId="8" borderId="0" xfId="1" applyFont="1" applyFill="1" applyBorder="1"/>
    <xf numFmtId="165" fontId="7" fillId="8" borderId="0" xfId="1" applyNumberFormat="1" applyFont="1" applyFill="1" applyBorder="1"/>
    <xf numFmtId="3" fontId="1" fillId="17" borderId="0" xfId="0" applyNumberFormat="1" applyFont="1" applyFill="1" applyAlignment="1">
      <alignment horizontal="right"/>
    </xf>
    <xf numFmtId="3" fontId="1" fillId="17" borderId="56" xfId="0" applyNumberFormat="1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 vertical="top"/>
    </xf>
    <xf numFmtId="3" fontId="0" fillId="0" borderId="11" xfId="0" applyNumberFormat="1" applyBorder="1"/>
    <xf numFmtId="44" fontId="0" fillId="0" borderId="0" xfId="5" applyFont="1"/>
    <xf numFmtId="44" fontId="33" fillId="0" borderId="0" xfId="5" applyFont="1" applyAlignment="1"/>
    <xf numFmtId="44" fontId="16" fillId="0" borderId="0" xfId="5" applyFont="1" applyAlignment="1"/>
    <xf numFmtId="1" fontId="1" fillId="0" borderId="0" xfId="0" applyNumberFormat="1" applyFont="1" applyAlignment="1">
      <alignment horizontal="left"/>
    </xf>
    <xf numFmtId="1" fontId="0" fillId="0" borderId="0" xfId="0" applyNumberForma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" fontId="0" fillId="10" borderId="0" xfId="0" applyNumberFormat="1" applyFill="1"/>
    <xf numFmtId="1" fontId="22" fillId="0" borderId="0" xfId="0" applyNumberFormat="1" applyFont="1"/>
    <xf numFmtId="1" fontId="20" fillId="0" borderId="0" xfId="0" applyNumberFormat="1" applyFont="1" applyAlignment="1">
      <alignment horizontal="center"/>
    </xf>
    <xf numFmtId="1" fontId="0" fillId="15" borderId="0" xfId="0" applyNumberFormat="1" applyFill="1"/>
    <xf numFmtId="1" fontId="32" fillId="0" borderId="0" xfId="0" applyNumberFormat="1" applyFont="1"/>
    <xf numFmtId="4" fontId="0" fillId="11" borderId="0" xfId="0" applyNumberFormat="1" applyFill="1"/>
    <xf numFmtId="3" fontId="21" fillId="5" borderId="0" xfId="0" applyNumberFormat="1" applyFont="1" applyFill="1"/>
    <xf numFmtId="165" fontId="21" fillId="0" borderId="0" xfId="1" applyNumberFormat="1" applyFont="1"/>
    <xf numFmtId="3" fontId="1" fillId="9" borderId="0" xfId="0" applyNumberFormat="1" applyFont="1" applyFill="1" applyAlignment="1">
      <alignment horizontal="right"/>
    </xf>
    <xf numFmtId="9" fontId="0" fillId="9" borderId="0" xfId="1" applyFont="1" applyFill="1" applyBorder="1"/>
    <xf numFmtId="0" fontId="14" fillId="0" borderId="9" xfId="0" applyFont="1" applyBorder="1" applyAlignment="1">
      <alignment vertical="center"/>
    </xf>
    <xf numFmtId="3" fontId="14" fillId="0" borderId="9" xfId="0" applyNumberFormat="1" applyFont="1" applyBorder="1" applyAlignment="1">
      <alignment vertical="center"/>
    </xf>
    <xf numFmtId="3" fontId="15" fillId="0" borderId="58" xfId="0" applyNumberFormat="1" applyFont="1" applyBorder="1" applyAlignment="1">
      <alignment vertical="center"/>
    </xf>
    <xf numFmtId="3" fontId="15" fillId="0" borderId="59" xfId="0" applyNumberFormat="1" applyFont="1" applyBorder="1" applyAlignment="1">
      <alignment vertical="center"/>
    </xf>
    <xf numFmtId="3" fontId="15" fillId="0" borderId="60" xfId="0" applyNumberFormat="1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30" xfId="0" applyFont="1" applyBorder="1" applyAlignment="1">
      <alignment horizontal="left" vertical="center"/>
    </xf>
    <xf numFmtId="3" fontId="14" fillId="0" borderId="0" xfId="0" applyNumberFormat="1" applyFont="1" applyAlignment="1">
      <alignment vertical="center"/>
    </xf>
    <xf numFmtId="0" fontId="21" fillId="5" borderId="0" xfId="0" applyFont="1" applyFill="1"/>
    <xf numFmtId="0" fontId="21" fillId="5" borderId="0" xfId="0" applyFont="1" applyFill="1" applyAlignment="1">
      <alignment horizontal="left"/>
    </xf>
    <xf numFmtId="0" fontId="15" fillId="0" borderId="57" xfId="0" applyFont="1" applyBorder="1"/>
    <xf numFmtId="0" fontId="15" fillId="0" borderId="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/>
    </xf>
    <xf numFmtId="1" fontId="20" fillId="0" borderId="0" xfId="0" applyNumberFormat="1" applyFont="1" applyAlignment="1">
      <alignment horizontal="center" vertical="center"/>
    </xf>
    <xf numFmtId="0" fontId="15" fillId="0" borderId="9" xfId="0" applyFont="1" applyBorder="1" applyAlignment="1">
      <alignment wrapText="1"/>
    </xf>
    <xf numFmtId="49" fontId="2" fillId="0" borderId="2" xfId="0" applyNumberFormat="1" applyFont="1" applyBorder="1" applyAlignment="1">
      <alignment horizontal="left"/>
    </xf>
    <xf numFmtId="14" fontId="0" fillId="11" borderId="0" xfId="0" applyNumberFormat="1" applyFill="1"/>
    <xf numFmtId="49" fontId="2" fillId="0" borderId="0" xfId="0" applyNumberFormat="1" applyFont="1" applyAlignment="1">
      <alignment horizontal="right"/>
    </xf>
    <xf numFmtId="49" fontId="2" fillId="8" borderId="11" xfId="0" applyNumberFormat="1" applyFont="1" applyFill="1" applyBorder="1" applyAlignment="1">
      <alignment horizontal="right"/>
    </xf>
    <xf numFmtId="3" fontId="13" fillId="11" borderId="0" xfId="0" applyNumberFormat="1" applyFont="1" applyFill="1" applyAlignment="1">
      <alignment wrapText="1"/>
    </xf>
    <xf numFmtId="1" fontId="21" fillId="0" borderId="0" xfId="0" applyNumberFormat="1" applyFont="1" applyAlignment="1">
      <alignment horizontal="center"/>
    </xf>
    <xf numFmtId="3" fontId="14" fillId="0" borderId="14" xfId="0" applyNumberFormat="1" applyFont="1" applyBorder="1" applyAlignment="1">
      <alignment vertical="center"/>
    </xf>
    <xf numFmtId="3" fontId="14" fillId="0" borderId="65" xfId="0" applyNumberFormat="1" applyFont="1" applyBorder="1" applyAlignment="1">
      <alignment vertical="center"/>
    </xf>
    <xf numFmtId="165" fontId="22" fillId="0" borderId="0" xfId="1" applyNumberFormat="1" applyFont="1"/>
    <xf numFmtId="49" fontId="2" fillId="15" borderId="1" xfId="0" applyNumberFormat="1" applyFont="1" applyFill="1" applyBorder="1" applyAlignment="1">
      <alignment horizontal="center"/>
    </xf>
    <xf numFmtId="49" fontId="2" fillId="15" borderId="1" xfId="0" applyNumberFormat="1" applyFont="1" applyFill="1" applyBorder="1" applyAlignment="1">
      <alignment horizontal="left"/>
    </xf>
    <xf numFmtId="3" fontId="2" fillId="15" borderId="1" xfId="0" applyNumberFormat="1" applyFont="1" applyFill="1" applyBorder="1" applyAlignment="1">
      <alignment horizontal="right"/>
    </xf>
    <xf numFmtId="4" fontId="8" fillId="15" borderId="1" xfId="0" applyNumberFormat="1" applyFont="1" applyFill="1" applyBorder="1" applyAlignment="1">
      <alignment horizontal="right"/>
    </xf>
    <xf numFmtId="3" fontId="2" fillId="15" borderId="2" xfId="0" applyNumberFormat="1" applyFont="1" applyFill="1" applyBorder="1" applyAlignment="1">
      <alignment horizontal="right"/>
    </xf>
    <xf numFmtId="3" fontId="2" fillId="15" borderId="0" xfId="0" applyNumberFormat="1" applyFont="1" applyFill="1" applyAlignment="1">
      <alignment horizontal="right"/>
    </xf>
    <xf numFmtId="4" fontId="2" fillId="15" borderId="0" xfId="0" applyNumberFormat="1" applyFont="1" applyFill="1" applyAlignment="1">
      <alignment horizontal="right"/>
    </xf>
    <xf numFmtId="3" fontId="13" fillId="15" borderId="0" xfId="0" applyNumberFormat="1" applyFont="1" applyFill="1"/>
    <xf numFmtId="3" fontId="0" fillId="15" borderId="0" xfId="0" applyNumberFormat="1" applyFill="1"/>
    <xf numFmtId="3" fontId="22" fillId="15" borderId="0" xfId="0" applyNumberFormat="1" applyFont="1" applyFill="1"/>
    <xf numFmtId="0" fontId="32" fillId="15" borderId="0" xfId="0" applyFont="1" applyFill="1"/>
    <xf numFmtId="49" fontId="2" fillId="19" borderId="0" xfId="0" applyNumberFormat="1" applyFont="1" applyFill="1" applyAlignment="1">
      <alignment horizontal="center"/>
    </xf>
    <xf numFmtId="49" fontId="2" fillId="19" borderId="1" xfId="0" applyNumberFormat="1" applyFont="1" applyFill="1" applyBorder="1" applyAlignment="1">
      <alignment horizontal="center"/>
    </xf>
    <xf numFmtId="49" fontId="2" fillId="19" borderId="1" xfId="0" applyNumberFormat="1" applyFont="1" applyFill="1" applyBorder="1" applyAlignment="1">
      <alignment horizontal="left"/>
    </xf>
    <xf numFmtId="3" fontId="2" fillId="19" borderId="0" xfId="0" applyNumberFormat="1" applyFont="1" applyFill="1" applyAlignment="1">
      <alignment horizontal="right"/>
    </xf>
    <xf numFmtId="4" fontId="8" fillId="19" borderId="0" xfId="0" applyNumberFormat="1" applyFont="1" applyFill="1" applyAlignment="1">
      <alignment horizontal="right"/>
    </xf>
    <xf numFmtId="4" fontId="2" fillId="19" borderId="0" xfId="0" applyNumberFormat="1" applyFont="1" applyFill="1" applyAlignment="1">
      <alignment horizontal="right"/>
    </xf>
    <xf numFmtId="0" fontId="0" fillId="19" borderId="0" xfId="0" applyFill="1"/>
    <xf numFmtId="3" fontId="13" fillId="19" borderId="0" xfId="0" applyNumberFormat="1" applyFont="1" applyFill="1"/>
    <xf numFmtId="49" fontId="2" fillId="19" borderId="1" xfId="0" applyNumberFormat="1" applyFont="1" applyFill="1" applyBorder="1" applyAlignment="1">
      <alignment horizontal="left" vertical="top"/>
    </xf>
    <xf numFmtId="3" fontId="22" fillId="19" borderId="0" xfId="0" applyNumberFormat="1" applyFont="1" applyFill="1"/>
    <xf numFmtId="3" fontId="0" fillId="19" borderId="0" xfId="0" applyNumberFormat="1" applyFill="1"/>
    <xf numFmtId="165" fontId="7" fillId="19" borderId="0" xfId="1" applyNumberFormat="1" applyFont="1" applyFill="1"/>
    <xf numFmtId="0" fontId="32" fillId="19" borderId="0" xfId="0" applyFont="1" applyFill="1"/>
    <xf numFmtId="3" fontId="1" fillId="8" borderId="7" xfId="0" applyNumberFormat="1" applyFont="1" applyFill="1" applyBorder="1" applyAlignment="1">
      <alignment horizontal="right"/>
    </xf>
    <xf numFmtId="165" fontId="22" fillId="0" borderId="0" xfId="1" applyNumberFormat="1" applyFont="1" applyFill="1"/>
    <xf numFmtId="0" fontId="15" fillId="0" borderId="14" xfId="0" applyFont="1" applyBorder="1"/>
    <xf numFmtId="0" fontId="15" fillId="0" borderId="57" xfId="0" applyFont="1" applyBorder="1" applyAlignment="1">
      <alignment vertical="center"/>
    </xf>
    <xf numFmtId="0" fontId="35" fillId="0" borderId="0" xfId="0" applyFont="1" applyAlignment="1">
      <alignment horizontal="center"/>
    </xf>
    <xf numFmtId="0" fontId="36" fillId="0" borderId="0" xfId="0" applyFont="1"/>
    <xf numFmtId="3" fontId="35" fillId="0" borderId="9" xfId="0" applyNumberFormat="1" applyFont="1" applyBorder="1" applyAlignment="1">
      <alignment horizontal="center" wrapText="1"/>
    </xf>
    <xf numFmtId="0" fontId="36" fillId="0" borderId="9" xfId="0" applyFont="1" applyBorder="1"/>
    <xf numFmtId="165" fontId="36" fillId="0" borderId="0" xfId="1" applyNumberFormat="1" applyFont="1"/>
    <xf numFmtId="165" fontId="36" fillId="0" borderId="6" xfId="1" applyNumberFormat="1" applyFont="1" applyBorder="1"/>
    <xf numFmtId="165" fontId="36" fillId="0" borderId="43" xfId="1" applyNumberFormat="1" applyFont="1" applyBorder="1"/>
    <xf numFmtId="3" fontId="36" fillId="0" borderId="0" xfId="0" applyNumberFormat="1" applyFont="1"/>
    <xf numFmtId="3" fontId="35" fillId="0" borderId="9" xfId="0" applyNumberFormat="1" applyFont="1" applyBorder="1"/>
    <xf numFmtId="165" fontId="36" fillId="0" borderId="9" xfId="1" applyNumberFormat="1" applyFont="1" applyBorder="1"/>
    <xf numFmtId="3" fontId="35" fillId="0" borderId="0" xfId="0" applyNumberFormat="1" applyFont="1"/>
    <xf numFmtId="0" fontId="35" fillId="0" borderId="0" xfId="0" applyFont="1"/>
    <xf numFmtId="3" fontId="35" fillId="0" borderId="0" xfId="0" applyNumberFormat="1" applyFont="1" applyAlignment="1">
      <alignment horizontal="center" wrapText="1"/>
    </xf>
    <xf numFmtId="165" fontId="36" fillId="0" borderId="0" xfId="1" applyNumberFormat="1" applyFont="1" applyFill="1" applyBorder="1"/>
    <xf numFmtId="1" fontId="20" fillId="0" borderId="0" xfId="0" applyNumberFormat="1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3" fontId="0" fillId="20" borderId="0" xfId="0" applyNumberFormat="1" applyFill="1"/>
    <xf numFmtId="49" fontId="2" fillId="8" borderId="0" xfId="0" applyNumberFormat="1" applyFont="1" applyFill="1" applyAlignment="1">
      <alignment horizontal="center"/>
    </xf>
    <xf numFmtId="49" fontId="2" fillId="8" borderId="0" xfId="0" applyNumberFormat="1" applyFont="1" applyFill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3" fontId="0" fillId="16" borderId="0" xfId="0" applyNumberFormat="1" applyFill="1"/>
    <xf numFmtId="3" fontId="0" fillId="4" borderId="0" xfId="0" applyNumberFormat="1" applyFill="1"/>
    <xf numFmtId="3" fontId="0" fillId="13" borderId="0" xfId="0" applyNumberFormat="1" applyFill="1" applyAlignment="1">
      <alignment wrapText="1"/>
    </xf>
    <xf numFmtId="0" fontId="16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15" fillId="0" borderId="14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15" fillId="0" borderId="6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44" fontId="33" fillId="0" borderId="0" xfId="5" applyFont="1" applyAlignment="1">
      <alignment horizontal="center"/>
    </xf>
    <xf numFmtId="0" fontId="15" fillId="0" borderId="0" xfId="0" applyFont="1" applyAlignment="1">
      <alignment horizontal="center"/>
    </xf>
    <xf numFmtId="44" fontId="38" fillId="0" borderId="0" xfId="5" applyFont="1" applyAlignment="1">
      <alignment horizontal="center"/>
    </xf>
    <xf numFmtId="0" fontId="38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0" fillId="0" borderId="0" xfId="0"/>
    <xf numFmtId="49" fontId="2" fillId="0" borderId="1" xfId="0" applyNumberFormat="1" applyFont="1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/>
    </xf>
    <xf numFmtId="3" fontId="13" fillId="0" borderId="34" xfId="0" applyNumberFormat="1" applyFont="1" applyBorder="1" applyAlignment="1">
      <alignment horizontal="center" vertical="center"/>
    </xf>
    <xf numFmtId="3" fontId="13" fillId="0" borderId="35" xfId="0" applyNumberFormat="1" applyFont="1" applyBorder="1" applyAlignment="1">
      <alignment horizontal="center" vertical="center"/>
    </xf>
    <xf numFmtId="3" fontId="13" fillId="0" borderId="36" xfId="0" applyNumberFormat="1" applyFont="1" applyBorder="1" applyAlignment="1">
      <alignment horizontal="center" vertical="center"/>
    </xf>
    <xf numFmtId="3" fontId="13" fillId="0" borderId="37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3" fillId="0" borderId="38" xfId="0" applyNumberFormat="1" applyFont="1" applyBorder="1" applyAlignment="1">
      <alignment horizontal="center" vertical="center"/>
    </xf>
    <xf numFmtId="3" fontId="13" fillId="0" borderId="39" xfId="0" applyNumberFormat="1" applyFont="1" applyBorder="1" applyAlignment="1">
      <alignment horizontal="center" vertical="center"/>
    </xf>
    <xf numFmtId="3" fontId="13" fillId="0" borderId="40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12" fillId="6" borderId="0" xfId="0" applyFont="1" applyFill="1" applyAlignment="1">
      <alignment horizontal="center" textRotation="90"/>
    </xf>
    <xf numFmtId="0" fontId="30" fillId="14" borderId="41" xfId="0" applyFont="1" applyFill="1" applyBorder="1" applyAlignment="1">
      <alignment horizontal="left" vertical="center" wrapText="1"/>
    </xf>
    <xf numFmtId="0" fontId="30" fillId="8" borderId="64" xfId="6" applyFont="1" applyFill="1" applyBorder="1" applyAlignment="1">
      <alignment horizontal="left" vertical="center" wrapText="1"/>
    </xf>
    <xf numFmtId="0" fontId="34" fillId="18" borderId="41" xfId="6" applyFont="1" applyFill="1" applyBorder="1" applyAlignment="1">
      <alignment horizontal="left" vertical="center" wrapText="1"/>
    </xf>
    <xf numFmtId="3" fontId="14" fillId="0" borderId="0" xfId="0" applyNumberFormat="1" applyFont="1" applyFill="1"/>
    <xf numFmtId="3" fontId="14" fillId="0" borderId="31" xfId="0" applyNumberFormat="1" applyFont="1" applyBorder="1" applyAlignment="1">
      <alignment vertical="center"/>
    </xf>
  </cellXfs>
  <cellStyles count="9">
    <cellStyle name="Čárka" xfId="3" builtinId="3"/>
    <cellStyle name="Měna" xfId="5" builtinId="4"/>
    <cellStyle name="Normální" xfId="0" builtinId="0"/>
    <cellStyle name="normální 2" xfId="2" xr:uid="{00000000-0005-0000-0000-000003000000}"/>
    <cellStyle name="normální 3" xfId="4" xr:uid="{00000000-0005-0000-0000-000004000000}"/>
    <cellStyle name="Normální 4" xfId="6" xr:uid="{C29D1D26-F106-401C-865E-14F8197DBBD6}"/>
    <cellStyle name="Normální 5" xfId="7" xr:uid="{09559CA3-8264-4D14-93E8-D3E826D3F086}"/>
    <cellStyle name="Normální 6" xfId="8" xr:uid="{E6A44083-9365-4DCB-9B91-462DA62B99C4}"/>
    <cellStyle name="Procenta" xfId="1" builtinId="5"/>
  </cellStyles>
  <dxfs count="0"/>
  <tableStyles count="0" defaultTableStyle="TableStyleMedium9" defaultPivotStyle="PivotStyleLight16"/>
  <colors>
    <mruColors>
      <color rgb="FFFFFF99"/>
      <color rgb="FFFFFFCC"/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microsoft.com/office/2017/10/relationships/person" Target="persons/perso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ec/AppData/Roaming/Microsoft/Excel/Programov&#233;%20prioriy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okumenty\PERSONAL\Mzdy_souhrn.xlsx" TargetMode="External"/><Relationship Id="rId1" Type="http://schemas.openxmlformats.org/officeDocument/2006/relationships/externalLinkPath" Target="/Dokumenty/PERSONAL/Mzdy_souhr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Zastupitelstvo/Podklady%2020211112/Programov&#233;%20priority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"/>
      <sheetName val="2019"/>
      <sheetName val="2019_ke_zveřejnění"/>
      <sheetName val="2019_ke zveřejnění"/>
    </sheetNames>
    <sheetDataSet>
      <sheetData sheetId="0">
        <row r="13">
          <cell r="Q13">
            <v>200000</v>
          </cell>
        </row>
        <row r="14">
          <cell r="Q14">
            <v>300000</v>
          </cell>
        </row>
        <row r="20">
          <cell r="Q20">
            <v>10000</v>
          </cell>
        </row>
        <row r="23">
          <cell r="Q23">
            <v>300000</v>
          </cell>
        </row>
        <row r="38">
          <cell r="Q38">
            <v>300000</v>
          </cell>
        </row>
        <row r="41">
          <cell r="Q41">
            <v>10000</v>
          </cell>
        </row>
        <row r="42">
          <cell r="Q42">
            <v>20000</v>
          </cell>
        </row>
        <row r="51">
          <cell r="Q51">
            <v>100000</v>
          </cell>
        </row>
        <row r="56">
          <cell r="Q56">
            <v>10000</v>
          </cell>
        </row>
        <row r="60">
          <cell r="Q60">
            <v>100000</v>
          </cell>
        </row>
        <row r="61">
          <cell r="Q61">
            <v>20000</v>
          </cell>
        </row>
        <row r="65">
          <cell r="Q65">
            <v>30000</v>
          </cell>
        </row>
        <row r="69">
          <cell r="Q69">
            <v>20000</v>
          </cell>
        </row>
        <row r="70">
          <cell r="Q70">
            <v>2000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"/>
      <sheetName val="2020_upr"/>
      <sheetName val="2020"/>
      <sheetName val="2019"/>
      <sheetName val="List2"/>
      <sheetName val="List3"/>
    </sheetNames>
    <sheetDataSet>
      <sheetData sheetId="0"/>
      <sheetData sheetId="1">
        <row r="15">
          <cell r="E15">
            <v>81724.906400000007</v>
          </cell>
        </row>
      </sheetData>
      <sheetData sheetId="2">
        <row r="15">
          <cell r="C15">
            <v>59500</v>
          </cell>
          <cell r="D15">
            <v>63665.000000000007</v>
          </cell>
        </row>
        <row r="20">
          <cell r="C20">
            <v>2000</v>
          </cell>
        </row>
        <row r="21">
          <cell r="D21">
            <v>16103.500000000002</v>
          </cell>
        </row>
        <row r="27">
          <cell r="D27">
            <v>629.16000000000008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"/>
      <sheetName val="2019"/>
      <sheetName val="2019_ke zveřejnění"/>
    </sheetNames>
    <sheetDataSet>
      <sheetData sheetId="0">
        <row r="60">
          <cell r="AM60">
            <v>24000</v>
          </cell>
        </row>
        <row r="64">
          <cell r="AM64">
            <v>47500</v>
          </cell>
        </row>
      </sheetData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tarosta" id="{B9EF3AFD-A617-42D5-A406-261BBC0FF9A5}" userId="S::starosta@ondratice.onmicrosoft.com::2c3a050f-18e0-4d29-a685-5fcee0e84fc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A29" dT="2023-04-19T08:39:30.20" personId="{B9EF3AFD-A617-42D5-A406-261BBC0FF9A5}" id="{DAC59FBD-B748-4675-AB1D-1D5FF2885DA8}">
    <text>Dotace z MMR - dětské hřiště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K98" dT="2023-04-19T11:29:31.44" personId="{B9EF3AFD-A617-42D5-A406-261BBC0FF9A5}" id="{BC6A9948-9CA0-4F4F-BBB7-163E0CC5C10F}">
    <text xml:space="preserve">Pořízení nového hřiště HRAS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8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9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35"/>
  <sheetViews>
    <sheetView workbookViewId="0"/>
  </sheetViews>
  <sheetFormatPr defaultColWidth="9.140625" defaultRowHeight="15"/>
  <cols>
    <col min="1" max="1" width="29.7109375" style="105" customWidth="1"/>
    <col min="2" max="2" width="8.85546875" style="105" customWidth="1"/>
    <col min="3" max="3" width="14.85546875" style="105" customWidth="1"/>
    <col min="4" max="4" width="13.7109375" style="105" customWidth="1"/>
    <col min="5" max="5" width="14.7109375" style="105" customWidth="1"/>
    <col min="6" max="6" width="15.42578125" style="106" customWidth="1"/>
    <col min="7" max="7" width="1.7109375" style="105" customWidth="1"/>
    <col min="8" max="8" width="11" style="105" customWidth="1"/>
    <col min="9" max="9" width="12" style="105" customWidth="1"/>
    <col min="10" max="10" width="1.5703125" style="105" customWidth="1"/>
    <col min="11" max="11" width="10.7109375" style="105" customWidth="1"/>
    <col min="12" max="12" width="12.140625" style="105" customWidth="1"/>
    <col min="13" max="13" width="1.28515625" style="105" customWidth="1"/>
    <col min="14" max="14" width="11" style="105" customWidth="1"/>
    <col min="15" max="15" width="11.85546875" style="105" customWidth="1"/>
    <col min="16" max="16" width="1.140625" style="105" customWidth="1"/>
    <col min="17" max="17" width="11.42578125" style="105" bestFit="1" customWidth="1"/>
    <col min="18" max="18" width="13.7109375" style="105" customWidth="1"/>
    <col min="19" max="16384" width="9.140625" style="105"/>
  </cols>
  <sheetData>
    <row r="2" spans="1:18" ht="23.25">
      <c r="A2" s="431" t="s">
        <v>464</v>
      </c>
      <c r="B2" s="431"/>
      <c r="C2" s="431"/>
      <c r="D2" s="431"/>
      <c r="E2" s="431"/>
      <c r="F2" s="431"/>
    </row>
    <row r="3" spans="1:18" s="104" customFormat="1" ht="33" customHeight="1">
      <c r="F3" s="226"/>
      <c r="H3" s="432" t="s">
        <v>469</v>
      </c>
      <c r="I3" s="432"/>
      <c r="K3" s="432" t="s">
        <v>478</v>
      </c>
      <c r="L3" s="432"/>
      <c r="N3" s="432" t="s">
        <v>482</v>
      </c>
      <c r="O3" s="432"/>
      <c r="Q3" s="432" t="s">
        <v>489</v>
      </c>
      <c r="R3" s="432"/>
    </row>
    <row r="4" spans="1:18" ht="47.25">
      <c r="A4" s="111" t="s">
        <v>263</v>
      </c>
      <c r="B4" s="111" t="s">
        <v>5</v>
      </c>
      <c r="C4" s="112" t="s">
        <v>449</v>
      </c>
      <c r="D4" s="112" t="s">
        <v>451</v>
      </c>
      <c r="E4" s="112" t="s">
        <v>450</v>
      </c>
      <c r="F4" s="112" t="s">
        <v>471</v>
      </c>
      <c r="H4" s="222" t="s">
        <v>472</v>
      </c>
      <c r="I4" s="222" t="s">
        <v>473</v>
      </c>
      <c r="K4" s="222" t="s">
        <v>472</v>
      </c>
      <c r="L4" s="222" t="s">
        <v>473</v>
      </c>
      <c r="N4" s="222" t="s">
        <v>472</v>
      </c>
      <c r="O4" s="222" t="s">
        <v>473</v>
      </c>
      <c r="Q4" s="222" t="s">
        <v>472</v>
      </c>
      <c r="R4" s="222" t="s">
        <v>473</v>
      </c>
    </row>
    <row r="5" spans="1:18">
      <c r="A5" s="105" t="s">
        <v>265</v>
      </c>
      <c r="B5" s="105" t="s">
        <v>266</v>
      </c>
      <c r="C5" s="106">
        <f>Rozpis_Příjmy!L22</f>
        <v>4972000</v>
      </c>
      <c r="D5" s="106">
        <f>Rozpis_Příjmy!AH22</f>
        <v>4661600</v>
      </c>
      <c r="E5" s="106">
        <f>Rozpis_Příjmy!AL22</f>
        <v>4655908.6900000004</v>
      </c>
      <c r="F5" s="106">
        <f>Rozpis_Příjmy!AN22</f>
        <v>4104000</v>
      </c>
      <c r="H5" s="106">
        <f>Rozpis_Příjmy!AZ22</f>
        <v>0</v>
      </c>
      <c r="I5" s="106">
        <f>Rozpis_Příjmy!BA22</f>
        <v>4104000</v>
      </c>
      <c r="K5" s="106">
        <f>Rozpis_Příjmy!BC22</f>
        <v>0</v>
      </c>
      <c r="L5" s="106">
        <f>Rozpis_Příjmy!BD22</f>
        <v>4104000</v>
      </c>
      <c r="N5" s="106">
        <f>Rozpis_Příjmy!BF22</f>
        <v>0</v>
      </c>
      <c r="O5" s="106">
        <f>Rozpis_Příjmy!BG22</f>
        <v>4104000</v>
      </c>
      <c r="Q5" s="106">
        <f>Rozpis_Příjmy!BI22</f>
        <v>792000</v>
      </c>
      <c r="R5" s="106">
        <f>Rozpis_Příjmy!BJ22</f>
        <v>4896000</v>
      </c>
    </row>
    <row r="6" spans="1:18">
      <c r="A6" s="105" t="s">
        <v>267</v>
      </c>
      <c r="B6" s="105" t="s">
        <v>268</v>
      </c>
      <c r="C6" s="106">
        <f>Rozpis_Příjmy!L111</f>
        <v>241200</v>
      </c>
      <c r="D6" s="106">
        <f>Rozpis_Příjmy!AH111</f>
        <v>240800</v>
      </c>
      <c r="E6" s="106">
        <f>Rozpis_Příjmy!AL111</f>
        <v>219140.41</v>
      </c>
      <c r="F6" s="106">
        <f>Rozpis_Příjmy!AN111</f>
        <v>203000</v>
      </c>
      <c r="H6" s="106">
        <f>Rozpis_Příjmy!AZ111</f>
        <v>0</v>
      </c>
      <c r="I6" s="106">
        <f>Rozpis_Příjmy!BA111</f>
        <v>203000</v>
      </c>
      <c r="K6" s="106">
        <f>Rozpis_Příjmy!BC111</f>
        <v>0</v>
      </c>
      <c r="L6" s="106">
        <f>Rozpis_Příjmy!BD111</f>
        <v>203000</v>
      </c>
      <c r="N6" s="106">
        <f>Rozpis_Příjmy!BF111</f>
        <v>0</v>
      </c>
      <c r="O6" s="106">
        <f>Rozpis_Příjmy!BG111</f>
        <v>203000</v>
      </c>
      <c r="Q6" s="106">
        <f>Rozpis_Příjmy!BI111</f>
        <v>87800</v>
      </c>
      <c r="R6" s="106">
        <f>Rozpis_Příjmy!BJ111</f>
        <v>290800</v>
      </c>
    </row>
    <row r="7" spans="1:18">
      <c r="A7" s="105" t="s">
        <v>269</v>
      </c>
      <c r="B7" s="105" t="s">
        <v>270</v>
      </c>
      <c r="C7" s="106">
        <f>Rozpis_Příjmy!L89</f>
        <v>1000</v>
      </c>
      <c r="D7" s="106">
        <f>Rozpis_Příjmy!AH89</f>
        <v>28590</v>
      </c>
      <c r="E7" s="106">
        <f>Rozpis_Příjmy!AL89</f>
        <v>28557</v>
      </c>
      <c r="F7" s="106">
        <f>Rozpis_Příjmy!AN89</f>
        <v>1000</v>
      </c>
      <c r="H7" s="106">
        <f>Rozpis_Příjmy!AZ89</f>
        <v>0</v>
      </c>
      <c r="I7" s="106">
        <f>Rozpis_Příjmy!BA89</f>
        <v>1000</v>
      </c>
      <c r="K7" s="106">
        <f>Rozpis_Příjmy!BC89</f>
        <v>0</v>
      </c>
      <c r="L7" s="106">
        <f>Rozpis_Příjmy!BD89</f>
        <v>1000</v>
      </c>
      <c r="N7" s="106">
        <f>Rozpis_Příjmy!BF89</f>
        <v>0</v>
      </c>
      <c r="O7" s="106">
        <f>Rozpis_Příjmy!BG89</f>
        <v>1000</v>
      </c>
      <c r="Q7" s="106">
        <f>Rozpis_Příjmy!BI89</f>
        <v>149000</v>
      </c>
      <c r="R7" s="106">
        <f>Rozpis_Příjmy!BJ89</f>
        <v>150000</v>
      </c>
    </row>
    <row r="8" spans="1:18">
      <c r="A8" s="105" t="s">
        <v>271</v>
      </c>
      <c r="B8" s="105" t="s">
        <v>272</v>
      </c>
      <c r="C8" s="106">
        <f>Rozpis_Příjmy!L33</f>
        <v>76800</v>
      </c>
      <c r="D8" s="106">
        <f>Rozpis_Příjmy!AH33</f>
        <v>1304250</v>
      </c>
      <c r="E8" s="106">
        <f>Rozpis_Příjmy!AL33</f>
        <v>1296911</v>
      </c>
      <c r="F8" s="106">
        <f>Rozpis_Příjmy!AN33</f>
        <v>84000</v>
      </c>
      <c r="H8" s="106">
        <f>Rozpis_Příjmy!AZ33</f>
        <v>211541.07</v>
      </c>
      <c r="I8" s="106">
        <f>Rozpis_Příjmy!BA33</f>
        <v>295541.07</v>
      </c>
      <c r="K8" s="106">
        <f>Rozpis_Příjmy!BC33</f>
        <v>0</v>
      </c>
      <c r="L8" s="106">
        <f>Rozpis_Příjmy!BD33</f>
        <v>295541.07</v>
      </c>
      <c r="N8" s="106">
        <f>Rozpis_Příjmy!BF33</f>
        <v>49297.26</v>
      </c>
      <c r="O8" s="106">
        <f>Rozpis_Příjmy!BG33</f>
        <v>344838.33</v>
      </c>
      <c r="Q8" s="106">
        <f>Rozpis_Příjmy!BI33</f>
        <v>63687.91</v>
      </c>
      <c r="R8" s="106">
        <f>Rozpis_Příjmy!BJ33</f>
        <v>408526.24</v>
      </c>
    </row>
    <row r="9" spans="1:18" s="117" customFormat="1" ht="16.5" thickBot="1">
      <c r="A9" s="115" t="s">
        <v>261</v>
      </c>
      <c r="B9" s="115"/>
      <c r="C9" s="116">
        <f>SUM(C5:C8)</f>
        <v>5291000</v>
      </c>
      <c r="D9" s="116">
        <f>SUM(D5:D8)</f>
        <v>6235240</v>
      </c>
      <c r="E9" s="116">
        <f>SUM(E5:E8)</f>
        <v>6200517.1000000006</v>
      </c>
      <c r="F9" s="116">
        <f>SUM(F5:F8)</f>
        <v>4392000</v>
      </c>
      <c r="H9" s="116">
        <f>SUM(H5:H8)</f>
        <v>211541.07</v>
      </c>
      <c r="I9" s="116">
        <f>SUM(I5:I8)</f>
        <v>4603541.07</v>
      </c>
      <c r="K9" s="116">
        <f>SUM(K5:K8)</f>
        <v>0</v>
      </c>
      <c r="L9" s="116">
        <f>SUM(L5:L8)</f>
        <v>4603541.07</v>
      </c>
      <c r="N9" s="116">
        <f>SUM(N5:N8)</f>
        <v>49297.26</v>
      </c>
      <c r="O9" s="116">
        <f>SUM(O5:O8)</f>
        <v>4652838.33</v>
      </c>
      <c r="Q9" s="116">
        <f>SUM(Q5:Q8)</f>
        <v>1092487.9099999999</v>
      </c>
      <c r="R9" s="116">
        <f>SUM(R5:R8)</f>
        <v>5745326.2400000002</v>
      </c>
    </row>
    <row r="11" spans="1:18" ht="15.75">
      <c r="A11" s="111" t="s">
        <v>273</v>
      </c>
      <c r="B11" s="111" t="s">
        <v>5</v>
      </c>
      <c r="C11" s="111"/>
      <c r="D11" s="111"/>
      <c r="E11" s="111"/>
      <c r="F11" s="114"/>
      <c r="H11" s="221"/>
      <c r="I11" s="221"/>
      <c r="K11" s="221"/>
      <c r="L11" s="221"/>
      <c r="N11" s="221"/>
      <c r="O11" s="221"/>
      <c r="Q11" s="221"/>
      <c r="R11" s="221"/>
    </row>
    <row r="12" spans="1:18">
      <c r="A12" s="105" t="s">
        <v>274</v>
      </c>
      <c r="B12" s="105" t="s">
        <v>275</v>
      </c>
      <c r="C12" s="106">
        <f>Rozpis_Výdaje!L332</f>
        <v>4309999.92</v>
      </c>
      <c r="D12" s="106">
        <f>Rozpis_Výdaje!AE332</f>
        <v>4954150</v>
      </c>
      <c r="E12" s="106">
        <f>Rozpis_Výdaje!AH332</f>
        <v>4665142.3800000008</v>
      </c>
      <c r="F12" s="106">
        <f>Rozpis_Výdaje!AK332</f>
        <v>4265000</v>
      </c>
      <c r="H12" s="106">
        <f>Rozpis_Výdaje!AR332</f>
        <v>100000</v>
      </c>
      <c r="I12" s="106">
        <f>Rozpis_Výdaje!AS332</f>
        <v>4365000</v>
      </c>
      <c r="K12" s="106">
        <f>Rozpis_Výdaje!AU332</f>
        <v>150300</v>
      </c>
      <c r="L12" s="106">
        <f>Rozpis_Výdaje!AV332</f>
        <v>4515300</v>
      </c>
      <c r="N12" s="106">
        <f>Rozpis_Výdaje!AX332</f>
        <v>49297.26</v>
      </c>
      <c r="O12" s="106">
        <f>Rozpis_Výdaje!AY332</f>
        <v>4564597.26</v>
      </c>
      <c r="Q12" s="106">
        <f>Rozpis_Výdaje!BD332</f>
        <v>845803</v>
      </c>
      <c r="R12" s="106">
        <f>Rozpis_Výdaje!BE332</f>
        <v>5410400.2599999998</v>
      </c>
    </row>
    <row r="13" spans="1:18">
      <c r="A13" s="225" t="s">
        <v>458</v>
      </c>
      <c r="B13" s="105">
        <v>5171</v>
      </c>
      <c r="C13" s="106">
        <f>Rozpis_Výdaje!L333</f>
        <v>446000</v>
      </c>
      <c r="D13" s="106">
        <f>Rozpis_Výdaje!AE333</f>
        <v>935250</v>
      </c>
      <c r="E13" s="106">
        <f>Rozpis_Výdaje!AH333</f>
        <v>897748.58000000007</v>
      </c>
      <c r="F13" s="106">
        <f>Rozpis_Výdaje!AK333</f>
        <v>400000</v>
      </c>
      <c r="H13" s="106">
        <f>Rozpis_Výdaje!AR333</f>
        <v>0</v>
      </c>
      <c r="I13" s="106">
        <f>Rozpis_Výdaje!AS333</f>
        <v>400000</v>
      </c>
      <c r="K13" s="106">
        <f>Rozpis_Výdaje!AU333</f>
        <v>0</v>
      </c>
      <c r="L13" s="106">
        <f>Rozpis_Výdaje!AV333</f>
        <v>400000</v>
      </c>
      <c r="N13" s="106">
        <f>Rozpis_Výdaje!AX333</f>
        <v>49297.26</v>
      </c>
      <c r="O13" s="106">
        <f>Rozpis_Výdaje!AY333</f>
        <v>449297.26</v>
      </c>
      <c r="Q13" s="106">
        <f>Rozpis_Výdaje!BD333</f>
        <v>491203</v>
      </c>
      <c r="R13" s="106">
        <f>Rozpis_Výdaje!BE333</f>
        <v>940500.26</v>
      </c>
    </row>
    <row r="14" spans="1:18">
      <c r="A14" s="105" t="s">
        <v>276</v>
      </c>
      <c r="B14" s="105" t="s">
        <v>277</v>
      </c>
      <c r="C14" s="106">
        <f>Rozpis_Výdaje!L335</f>
        <v>1760000</v>
      </c>
      <c r="D14" s="106">
        <f>Rozpis_Výdaje!AE335</f>
        <v>1365610</v>
      </c>
      <c r="E14" s="106">
        <f>Rozpis_Výdaje!AH335</f>
        <v>1363785.12</v>
      </c>
      <c r="F14" s="106">
        <f>Rozpis_Výdaje!AK335</f>
        <v>564000</v>
      </c>
      <c r="G14" s="105" t="s">
        <v>457</v>
      </c>
      <c r="H14" s="106">
        <f>Rozpis_Výdaje!AR335</f>
        <v>0</v>
      </c>
      <c r="I14" s="106">
        <f>Rozpis_Výdaje!AS335</f>
        <v>564000</v>
      </c>
      <c r="K14" s="106">
        <f>Rozpis_Výdaje!AU335</f>
        <v>0</v>
      </c>
      <c r="L14" s="106">
        <f>Rozpis_Výdaje!AV335</f>
        <v>564000</v>
      </c>
      <c r="N14" s="106">
        <f>Rozpis_Výdaje!AX335</f>
        <v>0</v>
      </c>
      <c r="O14" s="106">
        <f>Rozpis_Výdaje!AY335</f>
        <v>564000</v>
      </c>
      <c r="Q14" s="106">
        <f>Rozpis_Výdaje!BD335</f>
        <v>-416900</v>
      </c>
      <c r="R14" s="106">
        <f>Rozpis_Výdaje!BE335</f>
        <v>147100</v>
      </c>
    </row>
    <row r="15" spans="1:18" s="117" customFormat="1" ht="16.5" thickBot="1">
      <c r="A15" s="115" t="s">
        <v>262</v>
      </c>
      <c r="B15" s="115"/>
      <c r="C15" s="116">
        <f>C12+C14</f>
        <v>6069999.9199999999</v>
      </c>
      <c r="D15" s="116">
        <f>D12+D14</f>
        <v>6319760</v>
      </c>
      <c r="E15" s="116">
        <f>E12+E14</f>
        <v>6028927.5000000009</v>
      </c>
      <c r="F15" s="116">
        <f>F12+F14</f>
        <v>4829000</v>
      </c>
      <c r="H15" s="116">
        <f t="shared" ref="H15:I15" si="0">H12+H14</f>
        <v>100000</v>
      </c>
      <c r="I15" s="116">
        <f t="shared" si="0"/>
        <v>4929000</v>
      </c>
      <c r="K15" s="116">
        <f t="shared" ref="K15:L15" si="1">K12+K14</f>
        <v>150300</v>
      </c>
      <c r="L15" s="116">
        <f t="shared" si="1"/>
        <v>5079300</v>
      </c>
      <c r="N15" s="116">
        <f t="shared" ref="N15:O15" si="2">N12+N14</f>
        <v>49297.26</v>
      </c>
      <c r="O15" s="116">
        <f t="shared" si="2"/>
        <v>5128597.26</v>
      </c>
      <c r="Q15" s="116">
        <f>Q12+Q14</f>
        <v>428903</v>
      </c>
      <c r="R15" s="116">
        <f>R12+R14</f>
        <v>5557500.2599999998</v>
      </c>
    </row>
    <row r="17" spans="1:18" ht="15.75" thickBot="1">
      <c r="A17" s="107" t="s">
        <v>278</v>
      </c>
      <c r="B17" s="107"/>
      <c r="C17" s="108">
        <f>C9-C15</f>
        <v>-778999.91999999993</v>
      </c>
      <c r="D17" s="108">
        <f>D9-D15</f>
        <v>-84520</v>
      </c>
      <c r="E17" s="108">
        <f>E9-E15</f>
        <v>171589.59999999963</v>
      </c>
      <c r="F17" s="108">
        <f>F9-F15</f>
        <v>-437000</v>
      </c>
      <c r="H17" s="108">
        <f>H9-H15</f>
        <v>111541.07</v>
      </c>
      <c r="I17" s="108">
        <f t="shared" ref="I17" si="3">I9-I15</f>
        <v>-325458.9299999997</v>
      </c>
      <c r="K17" s="108">
        <f>K9-K15</f>
        <v>-150300</v>
      </c>
      <c r="L17" s="108">
        <f t="shared" ref="L17" si="4">L9-L15</f>
        <v>-475758.9299999997</v>
      </c>
      <c r="N17" s="108">
        <f>N9-N15</f>
        <v>0</v>
      </c>
      <c r="O17" s="108">
        <f t="shared" ref="O17" si="5">O9-O15</f>
        <v>-475758.9299999997</v>
      </c>
      <c r="Q17" s="108">
        <f>Q9-Q15</f>
        <v>663584.90999999992</v>
      </c>
      <c r="R17" s="108">
        <f>R9-R15</f>
        <v>187825.98000000045</v>
      </c>
    </row>
    <row r="19" spans="1:18" ht="15.75">
      <c r="A19" s="111" t="s">
        <v>279</v>
      </c>
      <c r="B19" s="111" t="s">
        <v>5</v>
      </c>
      <c r="C19" s="111"/>
      <c r="D19" s="111"/>
      <c r="E19" s="111"/>
      <c r="F19" s="114"/>
      <c r="H19" s="221"/>
      <c r="I19" s="221"/>
      <c r="K19" s="221"/>
      <c r="L19" s="221"/>
      <c r="N19" s="221"/>
      <c r="O19" s="221"/>
      <c r="Q19" s="221"/>
      <c r="R19" s="221"/>
    </row>
    <row r="20" spans="1:18">
      <c r="A20" s="105" t="s">
        <v>280</v>
      </c>
      <c r="B20" s="105">
        <v>8115</v>
      </c>
      <c r="C20" s="106">
        <v>779000</v>
      </c>
      <c r="D20" s="106">
        <v>84520</v>
      </c>
      <c r="E20" s="106">
        <v>0</v>
      </c>
      <c r="F20" s="106">
        <v>437000</v>
      </c>
      <c r="H20" s="106">
        <v>0</v>
      </c>
      <c r="I20" s="106">
        <f>F20+H21</f>
        <v>325459</v>
      </c>
      <c r="K20" s="106">
        <v>150300</v>
      </c>
      <c r="L20" s="106">
        <f>I20+K20</f>
        <v>475759</v>
      </c>
      <c r="N20" s="106">
        <v>0</v>
      </c>
      <c r="O20" s="106">
        <f>L20+N20</f>
        <v>475759</v>
      </c>
      <c r="Q20" s="106">
        <v>0</v>
      </c>
      <c r="R20" s="106">
        <v>0</v>
      </c>
    </row>
    <row r="21" spans="1:18">
      <c r="A21" s="105" t="s">
        <v>362</v>
      </c>
      <c r="B21" s="105">
        <v>8115</v>
      </c>
      <c r="C21" s="106">
        <v>0</v>
      </c>
      <c r="D21" s="106">
        <v>0</v>
      </c>
      <c r="E21" s="106">
        <f>-E17</f>
        <v>-171589.59999999963</v>
      </c>
      <c r="F21" s="106">
        <v>0</v>
      </c>
      <c r="H21" s="106">
        <v>-111541</v>
      </c>
      <c r="I21" s="106">
        <v>0</v>
      </c>
      <c r="K21" s="106">
        <v>0</v>
      </c>
      <c r="L21" s="106">
        <v>0</v>
      </c>
      <c r="N21" s="106">
        <v>0</v>
      </c>
      <c r="O21" s="106">
        <v>0</v>
      </c>
      <c r="Q21" s="106">
        <f>-Q17</f>
        <v>-663584.90999999992</v>
      </c>
      <c r="R21" s="106">
        <f>-R17</f>
        <v>-187825.98000000045</v>
      </c>
    </row>
    <row r="22" spans="1:18">
      <c r="A22" s="105" t="s">
        <v>358</v>
      </c>
      <c r="B22" s="105">
        <v>8123</v>
      </c>
      <c r="C22" s="106">
        <v>0</v>
      </c>
      <c r="D22" s="106">
        <v>0</v>
      </c>
      <c r="E22" s="106">
        <v>0</v>
      </c>
      <c r="F22" s="106">
        <v>0</v>
      </c>
      <c r="H22" s="106">
        <v>0</v>
      </c>
      <c r="I22" s="106">
        <v>0</v>
      </c>
      <c r="K22" s="106">
        <v>0</v>
      </c>
      <c r="L22" s="106">
        <v>0</v>
      </c>
      <c r="N22" s="106">
        <v>0</v>
      </c>
      <c r="O22" s="106">
        <v>0</v>
      </c>
      <c r="Q22" s="106">
        <v>0</v>
      </c>
      <c r="R22" s="106">
        <v>0</v>
      </c>
    </row>
    <row r="23" spans="1:18" s="117" customFormat="1" ht="17.25" customHeight="1" thickBot="1">
      <c r="A23" s="115" t="s">
        <v>359</v>
      </c>
      <c r="B23" s="115"/>
      <c r="C23" s="116">
        <f>SUM(C20:C22)</f>
        <v>779000</v>
      </c>
      <c r="D23" s="116">
        <f>SUM(D20:D22)</f>
        <v>84520</v>
      </c>
      <c r="E23" s="116">
        <f>SUM(E20:E22)</f>
        <v>-171589.59999999963</v>
      </c>
      <c r="F23" s="116">
        <f>SUM(F20:F22)</f>
        <v>437000</v>
      </c>
      <c r="H23" s="116">
        <f>SUM(H20:H22)</f>
        <v>-111541</v>
      </c>
      <c r="I23" s="116">
        <f>SUM(I20:I22)</f>
        <v>325459</v>
      </c>
      <c r="K23" s="116">
        <f>SUM(K20:K22)</f>
        <v>150300</v>
      </c>
      <c r="L23" s="116">
        <f>SUM(L20:L22)</f>
        <v>475759</v>
      </c>
      <c r="N23" s="116">
        <f>SUM(N20:N22)</f>
        <v>0</v>
      </c>
      <c r="O23" s="116">
        <f>SUM(O20:O22)</f>
        <v>475759</v>
      </c>
      <c r="Q23" s="116">
        <f>SUM(Q20:Q22)</f>
        <v>-663584.90999999992</v>
      </c>
      <c r="R23" s="116">
        <f>SUM(R20:R22)</f>
        <v>-187825.98000000045</v>
      </c>
    </row>
    <row r="24" spans="1:18">
      <c r="H24" s="106"/>
      <c r="I24" s="106"/>
      <c r="K24" s="106"/>
      <c r="L24" s="106"/>
      <c r="N24" s="106"/>
      <c r="O24" s="106"/>
      <c r="Q24" s="106"/>
      <c r="R24" s="106"/>
    </row>
    <row r="25" spans="1:18" ht="15.75" thickBot="1">
      <c r="A25" s="109" t="s">
        <v>360</v>
      </c>
      <c r="B25" s="109"/>
      <c r="C25" s="110">
        <f>C9-C15+C23</f>
        <v>8.0000000074505806E-2</v>
      </c>
      <c r="D25" s="110">
        <f>D9-D15+D23</f>
        <v>0</v>
      </c>
      <c r="E25" s="110">
        <f>E9-E15+E23</f>
        <v>0</v>
      </c>
      <c r="F25" s="110">
        <f>F9-F15+F23</f>
        <v>0</v>
      </c>
      <c r="H25" s="110">
        <f>H9-H15+H23</f>
        <v>7.0000000006984919E-2</v>
      </c>
      <c r="I25" s="110">
        <f>I9-I15+I23</f>
        <v>7.0000000298023224E-2</v>
      </c>
      <c r="K25" s="110">
        <f>K9-K15+K23</f>
        <v>0</v>
      </c>
      <c r="L25" s="110">
        <f>L9-L15+L23</f>
        <v>7.0000000298023224E-2</v>
      </c>
      <c r="N25" s="110">
        <f>N9-N15+N23</f>
        <v>0</v>
      </c>
      <c r="O25" s="110">
        <f>O9-O15+O23</f>
        <v>7.0000000298023224E-2</v>
      </c>
      <c r="Q25" s="110">
        <f>Q9-Q15+Q23</f>
        <v>0</v>
      </c>
      <c r="R25" s="110">
        <f>R9-R15+R23</f>
        <v>0</v>
      </c>
    </row>
    <row r="27" spans="1:18">
      <c r="A27" s="105" t="s">
        <v>474</v>
      </c>
    </row>
    <row r="28" spans="1:18">
      <c r="A28" s="105" t="s">
        <v>470</v>
      </c>
    </row>
    <row r="29" spans="1:18">
      <c r="A29" s="105" t="s">
        <v>477</v>
      </c>
      <c r="B29" s="132"/>
    </row>
    <row r="30" spans="1:18">
      <c r="A30" s="105" t="s">
        <v>481</v>
      </c>
      <c r="B30" s="132"/>
      <c r="J30" s="219"/>
    </row>
    <row r="31" spans="1:18">
      <c r="A31" s="105" t="s">
        <v>492</v>
      </c>
      <c r="B31" s="132"/>
      <c r="J31" s="219" t="s">
        <v>461</v>
      </c>
    </row>
    <row r="32" spans="1:18">
      <c r="J32" s="219" t="s">
        <v>462</v>
      </c>
    </row>
    <row r="33" spans="1:1">
      <c r="A33" s="104" t="s">
        <v>493</v>
      </c>
    </row>
    <row r="34" spans="1:1">
      <c r="A34" s="104"/>
    </row>
    <row r="35" spans="1:1">
      <c r="A35" s="104" t="s">
        <v>382</v>
      </c>
    </row>
  </sheetData>
  <mergeCells count="5">
    <mergeCell ref="A2:F2"/>
    <mergeCell ref="H3:I3"/>
    <mergeCell ref="K3:L3"/>
    <mergeCell ref="N3:O3"/>
    <mergeCell ref="Q3:R3"/>
  </mergeCells>
  <pageMargins left="0.70866141732283472" right="0.70866141732283472" top="0.78740157480314965" bottom="0.78740157480314965" header="0.31496062992125984" footer="0.31496062992125984"/>
  <pageSetup paperSize="9" scale="6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3E337-821C-48DC-938B-4A57E36BA0FC}">
  <sheetPr>
    <pageSetUpPr fitToPage="1"/>
  </sheetPr>
  <dimension ref="A2:R35"/>
  <sheetViews>
    <sheetView workbookViewId="0"/>
  </sheetViews>
  <sheetFormatPr defaultColWidth="9.140625" defaultRowHeight="15" outlineLevelCol="1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hidden="1" customWidth="1" outlineLevel="1"/>
    <col min="9" max="9" width="16.5703125" style="105" hidden="1" customWidth="1" outlineLevel="1"/>
    <col min="10" max="10" width="1.28515625" style="105" hidden="1" customWidth="1" outlineLevel="1"/>
    <col min="11" max="11" width="12.7109375" style="105" hidden="1" customWidth="1" outlineLevel="1"/>
    <col min="12" max="12" width="15.5703125" style="105" hidden="1" customWidth="1" outlineLevel="1"/>
    <col min="13" max="13" width="1.7109375" style="105" hidden="1" customWidth="1" outlineLevel="1"/>
    <col min="14" max="14" width="12.7109375" style="105" customWidth="1" collapsed="1"/>
    <col min="15" max="15" width="14.7109375" style="105" customWidth="1"/>
    <col min="16" max="16" width="3.5703125" style="105" customWidth="1"/>
    <col min="17" max="17" width="16.140625" style="105" customWidth="1"/>
    <col min="18" max="18" width="16" style="105" customWidth="1"/>
    <col min="19" max="16384" width="9.140625" style="105"/>
  </cols>
  <sheetData>
    <row r="2" spans="1:18" ht="15.75">
      <c r="A2" s="440" t="s">
        <v>594</v>
      </c>
      <c r="B2" s="440"/>
      <c r="C2" s="440"/>
      <c r="D2" s="440"/>
      <c r="E2" s="440"/>
      <c r="F2" s="440"/>
    </row>
    <row r="3" spans="1:18" ht="15.75">
      <c r="H3" s="117" t="s">
        <v>469</v>
      </c>
      <c r="I3" s="117"/>
      <c r="K3" s="117" t="s">
        <v>478</v>
      </c>
      <c r="L3" s="117"/>
      <c r="N3" s="117" t="s">
        <v>482</v>
      </c>
      <c r="O3" s="117"/>
      <c r="Q3" s="117" t="s">
        <v>489</v>
      </c>
      <c r="R3" s="117"/>
    </row>
    <row r="4" spans="1:18" ht="47.2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368" t="s">
        <v>472</v>
      </c>
      <c r="I4" s="368" t="s">
        <v>473</v>
      </c>
      <c r="K4" s="368" t="s">
        <v>472</v>
      </c>
      <c r="L4" s="368" t="s">
        <v>473</v>
      </c>
      <c r="N4" s="368" t="s">
        <v>472</v>
      </c>
      <c r="O4" s="368" t="s">
        <v>473</v>
      </c>
      <c r="Q4" s="368" t="s">
        <v>472</v>
      </c>
      <c r="R4" s="368" t="s">
        <v>473</v>
      </c>
    </row>
    <row r="5" spans="1:18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  <c r="K5" s="106">
        <f>Rozpis_Příjmy!CX22</f>
        <v>0</v>
      </c>
      <c r="L5" s="106">
        <f>Rozpis_Příjmy!CY22</f>
        <v>6126400</v>
      </c>
      <c r="N5" s="106">
        <f>Rozpis_Příjmy!DA22</f>
        <v>0</v>
      </c>
      <c r="O5" s="106">
        <f>Rozpis_Příjmy!DB22</f>
        <v>6126400</v>
      </c>
      <c r="Q5" s="106">
        <f>Rozpis_Příjmy!DD22</f>
        <v>14000</v>
      </c>
      <c r="R5" s="106">
        <f>Rozpis_Příjmy!DE22</f>
        <v>6140400</v>
      </c>
    </row>
    <row r="6" spans="1:18">
      <c r="A6" s="105" t="s">
        <v>267</v>
      </c>
      <c r="B6" s="105" t="s">
        <v>268</v>
      </c>
      <c r="C6" s="106">
        <f>Rozpis_Příjmy!BO111</f>
        <v>514500</v>
      </c>
      <c r="D6" s="106">
        <f>Rozpis_Příjmy!CN111</f>
        <v>593640</v>
      </c>
      <c r="E6" s="106">
        <f>Rozpis_Příjmy!CP111</f>
        <v>435708.33</v>
      </c>
      <c r="F6" s="106">
        <f>Rozpis_Příjmy!CR111</f>
        <v>514800</v>
      </c>
      <c r="H6" s="106">
        <f>Rozpis_Příjmy!CU111</f>
        <v>-150000</v>
      </c>
      <c r="I6" s="106">
        <f>Rozpis_Příjmy!CV111</f>
        <v>364800</v>
      </c>
      <c r="K6" s="106">
        <f>Rozpis_Příjmy!CX111</f>
        <v>13000</v>
      </c>
      <c r="L6" s="106">
        <f>Rozpis_Příjmy!CY111</f>
        <v>377800</v>
      </c>
      <c r="N6" s="106">
        <f>Rozpis_Příjmy!DA111</f>
        <v>249450</v>
      </c>
      <c r="O6" s="106">
        <f>Rozpis_Příjmy!DB111</f>
        <v>627250</v>
      </c>
      <c r="Q6" s="106">
        <f>Rozpis_Příjmy!DD111</f>
        <v>16500</v>
      </c>
      <c r="R6" s="106">
        <f>Rozpis_Příjmy!DE111</f>
        <v>643750</v>
      </c>
    </row>
    <row r="7" spans="1:18">
      <c r="A7" s="105" t="s">
        <v>269</v>
      </c>
      <c r="B7" s="105" t="s">
        <v>270</v>
      </c>
      <c r="C7" s="106">
        <f>Rozpis_Příjmy!BO89</f>
        <v>40000</v>
      </c>
      <c r="D7" s="106">
        <f>Rozpis_Příjmy!CN89</f>
        <v>70000</v>
      </c>
      <c r="E7" s="106">
        <f>Rozpis_Příjmy!CP89</f>
        <v>59144</v>
      </c>
      <c r="F7" s="106">
        <f>Rozpis_Příjmy!CR89</f>
        <v>30000</v>
      </c>
      <c r="H7" s="106">
        <f>Rozpis_Příjmy!CU89</f>
        <v>150000</v>
      </c>
      <c r="I7" s="106">
        <f>Rozpis_Příjmy!CV89</f>
        <v>180000</v>
      </c>
      <c r="K7" s="106">
        <f>Rozpis_Příjmy!CX89</f>
        <v>0</v>
      </c>
      <c r="L7" s="106">
        <f>Rozpis_Příjmy!CY89</f>
        <v>180000</v>
      </c>
      <c r="N7" s="106">
        <f>Rozpis_Příjmy!DA89</f>
        <v>0</v>
      </c>
      <c r="O7" s="106">
        <f>Rozpis_Příjmy!DB89</f>
        <v>180000</v>
      </c>
      <c r="Q7" s="106">
        <f>Rozpis_Příjmy!DD89</f>
        <v>11500</v>
      </c>
      <c r="R7" s="106">
        <f>Rozpis_Příjmy!DE89</f>
        <v>191500</v>
      </c>
    </row>
    <row r="8" spans="1:18">
      <c r="A8" s="105" t="s">
        <v>271</v>
      </c>
      <c r="B8" s="105" t="s">
        <v>272</v>
      </c>
      <c r="C8" s="106">
        <f>Rozpis_Příjmy!BO33</f>
        <v>1228300</v>
      </c>
      <c r="D8" s="106">
        <f>Rozpis_Příjmy!CN33</f>
        <v>1377347.88</v>
      </c>
      <c r="E8" s="106">
        <f>Rozpis_Příjmy!CP33</f>
        <v>1377347.92</v>
      </c>
      <c r="F8" s="106">
        <f>Rozpis_Příjmy!CR33</f>
        <v>365188.89</v>
      </c>
      <c r="H8" s="106">
        <f>Rozpis_Příjmy!CU33</f>
        <v>0</v>
      </c>
      <c r="I8" s="106">
        <f>Rozpis_Příjmy!CV33</f>
        <v>365188.89</v>
      </c>
      <c r="K8" s="106">
        <f>Rozpis_Příjmy!CX33</f>
        <v>129761</v>
      </c>
      <c r="L8" s="106">
        <f>Rozpis_Příjmy!CY33</f>
        <v>494949.89</v>
      </c>
      <c r="N8" s="106">
        <f>Rozpis_Příjmy!DA33</f>
        <v>995684</v>
      </c>
      <c r="O8" s="106">
        <f>Rozpis_Příjmy!DB33</f>
        <v>1490633.8900000001</v>
      </c>
      <c r="Q8" s="106">
        <f>Rozpis_Příjmy!DD33</f>
        <v>96000</v>
      </c>
      <c r="R8" s="106">
        <f>Rozpis_Příjmy!DE33</f>
        <v>1586633.8900000001</v>
      </c>
    </row>
    <row r="9" spans="1:18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  <c r="K9" s="116">
        <f>SUM(K5:K8)</f>
        <v>142761</v>
      </c>
      <c r="L9" s="116">
        <f>SUM(L5:L8)</f>
        <v>7179149.8899999997</v>
      </c>
      <c r="N9" s="116">
        <f>SUM(N5:N8)</f>
        <v>1245134</v>
      </c>
      <c r="O9" s="116">
        <f>SUM(O5:O8)</f>
        <v>8424283.8900000006</v>
      </c>
      <c r="Q9" s="116">
        <f>SUM(Q5:Q8)</f>
        <v>138000</v>
      </c>
      <c r="R9" s="116">
        <f>SUM(R5:R8)</f>
        <v>8562283.8900000006</v>
      </c>
    </row>
    <row r="10" spans="1:18">
      <c r="H10" s="106"/>
      <c r="I10" s="106"/>
      <c r="K10" s="106"/>
      <c r="L10" s="106"/>
      <c r="N10" s="106"/>
      <c r="O10" s="106"/>
      <c r="Q10" s="106"/>
      <c r="R10" s="106"/>
    </row>
    <row r="11" spans="1:18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  <c r="K11" s="114"/>
      <c r="L11" s="114"/>
      <c r="N11" s="114"/>
      <c r="O11" s="114"/>
      <c r="Q11" s="114"/>
      <c r="R11" s="114"/>
    </row>
    <row r="12" spans="1:18">
      <c r="A12" s="105" t="s">
        <v>274</v>
      </c>
      <c r="B12" s="105" t="s">
        <v>275</v>
      </c>
      <c r="C12" s="106">
        <f>Rozpis_Výdaje!BM332</f>
        <v>7195600</v>
      </c>
      <c r="D12" s="106">
        <f>Rozpis_Výdaje!CY332</f>
        <v>7479854.8899999997</v>
      </c>
      <c r="E12" s="106">
        <f>Rozpis_Výdaje!DA332</f>
        <v>7594747.4400000004</v>
      </c>
      <c r="F12" s="106">
        <f>Rozpis_Výdaje!DC332</f>
        <v>6251689.0999999996</v>
      </c>
      <c r="H12" s="106">
        <f>Rozpis_Výdaje!DE332</f>
        <v>0</v>
      </c>
      <c r="I12" s="106">
        <f>Rozpis_Výdaje!DF332</f>
        <v>6251689.0999999996</v>
      </c>
      <c r="K12" s="106">
        <f>Rozpis_Výdaje!DH332</f>
        <v>57325</v>
      </c>
      <c r="L12" s="106">
        <f>Rozpis_Výdaje!DI332</f>
        <v>6309014.0999999996</v>
      </c>
      <c r="N12" s="106">
        <f>Rozpis_Výdaje!DK332</f>
        <v>249450</v>
      </c>
      <c r="O12" s="106">
        <f>Rozpis_Výdaje!DL332</f>
        <v>6558464.0999999996</v>
      </c>
      <c r="Q12" s="106">
        <f>Rozpis_Výdaje!DQ332</f>
        <v>116300</v>
      </c>
      <c r="R12" s="106">
        <f>Rozpis_Výdaje!DR332</f>
        <v>6674764.0999999996</v>
      </c>
    </row>
    <row r="13" spans="1:18">
      <c r="A13" s="105" t="s">
        <v>276</v>
      </c>
      <c r="B13" s="105" t="s">
        <v>277</v>
      </c>
      <c r="C13" s="106">
        <f>Rozpis_Výdaje!BM335</f>
        <v>2057900</v>
      </c>
      <c r="D13" s="106">
        <f>Rozpis_Výdaje!CY335</f>
        <v>2482600</v>
      </c>
      <c r="E13" s="106">
        <f>Rozpis_Výdaje!DA335</f>
        <v>2481231</v>
      </c>
      <c r="F13" s="106">
        <f>Rozpis_Výdaje!DC335</f>
        <v>539700</v>
      </c>
      <c r="G13" s="105" t="s">
        <v>457</v>
      </c>
      <c r="H13" s="106">
        <f>Rozpis_Výdaje!DE335</f>
        <v>0</v>
      </c>
      <c r="I13" s="106">
        <f>Rozpis_Výdaje!DF335</f>
        <v>539700</v>
      </c>
      <c r="K13" s="106">
        <f>Rozpis_Výdaje!DH335</f>
        <v>0</v>
      </c>
      <c r="L13" s="106">
        <f>Rozpis_Výdaje!DI335</f>
        <v>539700</v>
      </c>
      <c r="N13" s="106">
        <f>Rozpis_Výdaje!DK335</f>
        <v>866540.65999999992</v>
      </c>
      <c r="O13" s="106">
        <f>Rozpis_Výdaje!DL335</f>
        <v>1406240.66</v>
      </c>
      <c r="Q13" s="106">
        <f>Rozpis_Výdaje!DQ335</f>
        <v>99000</v>
      </c>
      <c r="R13" s="106">
        <f>Rozpis_Výdaje!DR335</f>
        <v>1505240.66</v>
      </c>
    </row>
    <row r="14" spans="1:18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  <c r="K14" s="116">
        <f>K12+K13</f>
        <v>57325</v>
      </c>
      <c r="L14" s="116">
        <f>L12+L13</f>
        <v>6848714.0999999996</v>
      </c>
      <c r="N14" s="116">
        <f>N12+N13</f>
        <v>1115990.6599999999</v>
      </c>
      <c r="O14" s="116">
        <f>O12+O13</f>
        <v>7964704.7599999998</v>
      </c>
      <c r="Q14" s="116">
        <f>Q12+Q13</f>
        <v>215300</v>
      </c>
      <c r="R14" s="116">
        <f>R12+R13</f>
        <v>8180004.7599999998</v>
      </c>
    </row>
    <row r="15" spans="1:18">
      <c r="H15" s="106"/>
      <c r="I15" s="106"/>
      <c r="K15" s="106"/>
      <c r="L15" s="106"/>
      <c r="N15" s="106"/>
      <c r="O15" s="106"/>
      <c r="Q15" s="106"/>
      <c r="R15" s="106"/>
    </row>
    <row r="16" spans="1:18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  <c r="K16" s="108">
        <f>K9-K14</f>
        <v>85436</v>
      </c>
      <c r="L16" s="108">
        <f>L9-L14</f>
        <v>330435.79000000004</v>
      </c>
      <c r="N16" s="108">
        <f>N9-N14</f>
        <v>129143.34000000008</v>
      </c>
      <c r="O16" s="108">
        <f>O9-O14</f>
        <v>459579.13000000082</v>
      </c>
      <c r="Q16" s="108">
        <f>Q9-Q14</f>
        <v>-77300</v>
      </c>
      <c r="R16" s="108">
        <f>R9-R14</f>
        <v>382279.13000000082</v>
      </c>
    </row>
    <row r="17" spans="1:18">
      <c r="H17" s="106"/>
      <c r="I17" s="106"/>
      <c r="K17" s="106"/>
      <c r="L17" s="106"/>
      <c r="N17" s="106"/>
      <c r="O17" s="106"/>
      <c r="Q17" s="106"/>
      <c r="R17" s="106"/>
    </row>
    <row r="18" spans="1:18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  <c r="K18" s="114"/>
      <c r="L18" s="114"/>
      <c r="N18" s="114"/>
      <c r="O18" s="114"/>
      <c r="Q18" s="114"/>
      <c r="R18" s="114"/>
    </row>
    <row r="19" spans="1:18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  <c r="K19" s="106"/>
      <c r="L19" s="106"/>
      <c r="N19" s="106"/>
      <c r="O19" s="106"/>
      <c r="Q19" s="106"/>
      <c r="R19" s="106"/>
    </row>
    <row r="20" spans="1:18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  <c r="K20" s="106">
        <v>-85436</v>
      </c>
      <c r="L20" s="106">
        <v>-85436</v>
      </c>
      <c r="N20" s="106">
        <v>-129143</v>
      </c>
      <c r="O20" s="106">
        <f>N20+L20</f>
        <v>-214579</v>
      </c>
      <c r="Q20" s="106">
        <v>77300</v>
      </c>
      <c r="R20" s="106">
        <f>Q20+O20</f>
        <v>-137279</v>
      </c>
    </row>
    <row r="21" spans="1:18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  <c r="K21" s="106"/>
      <c r="L21" s="106"/>
      <c r="N21" s="106"/>
      <c r="O21" s="106"/>
      <c r="Q21" s="106"/>
      <c r="R21" s="106"/>
    </row>
    <row r="22" spans="1:18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  <c r="K22" s="106">
        <v>0</v>
      </c>
      <c r="L22" s="106">
        <v>-245000</v>
      </c>
      <c r="N22" s="106">
        <v>0</v>
      </c>
      <c r="O22" s="106">
        <v>-245000</v>
      </c>
      <c r="Q22" s="106">
        <v>0</v>
      </c>
      <c r="R22" s="106">
        <v>-245000</v>
      </c>
    </row>
    <row r="23" spans="1:18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  <c r="K23" s="116">
        <f>K19+K21+K22+K20</f>
        <v>-85436</v>
      </c>
      <c r="L23" s="116">
        <f>L19+L21+L22+L20</f>
        <v>-330436</v>
      </c>
      <c r="N23" s="116">
        <f>N19+N21+N22+N20</f>
        <v>-129143</v>
      </c>
      <c r="O23" s="116">
        <f>O19+O21+O22+O20</f>
        <v>-459579</v>
      </c>
      <c r="Q23" s="116">
        <f>Q19+Q21+Q22+Q20</f>
        <v>77300</v>
      </c>
      <c r="R23" s="116">
        <f>R19+R21+R22+R20</f>
        <v>-382279</v>
      </c>
    </row>
    <row r="24" spans="1:18">
      <c r="H24" s="106"/>
      <c r="I24" s="106"/>
      <c r="K24" s="106"/>
      <c r="L24" s="106"/>
      <c r="N24" s="106"/>
      <c r="O24" s="106"/>
      <c r="Q24" s="106"/>
      <c r="R24" s="106"/>
    </row>
    <row r="25" spans="1:18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  <c r="K25" s="110">
        <f>K9-K14+K23</f>
        <v>0</v>
      </c>
      <c r="L25" s="110">
        <f>L9-L14+L23</f>
        <v>-0.2099999999627471</v>
      </c>
      <c r="N25" s="110">
        <f>N9-N14+N23</f>
        <v>0.34000000008381903</v>
      </c>
      <c r="O25" s="110">
        <f>O9-O14+O23</f>
        <v>0.13000000081956387</v>
      </c>
      <c r="Q25" s="110">
        <f>Q9-Q14+Q23</f>
        <v>0</v>
      </c>
      <c r="R25" s="110">
        <f>R9-R14+R23</f>
        <v>0.13000000081956387</v>
      </c>
    </row>
    <row r="26" spans="1:18">
      <c r="D26" s="105" t="s">
        <v>457</v>
      </c>
    </row>
    <row r="27" spans="1:18">
      <c r="A27" s="105" t="s">
        <v>597</v>
      </c>
      <c r="F27" s="105" t="s">
        <v>596</v>
      </c>
    </row>
    <row r="28" spans="1:18">
      <c r="A28" s="105" t="s">
        <v>604</v>
      </c>
      <c r="F28" s="105" t="s">
        <v>607</v>
      </c>
    </row>
    <row r="29" spans="1:18">
      <c r="A29" s="105" t="s">
        <v>605</v>
      </c>
      <c r="F29" s="105" t="s">
        <v>606</v>
      </c>
    </row>
    <row r="30" spans="1:18">
      <c r="A30" s="105" t="s">
        <v>609</v>
      </c>
      <c r="F30" s="105" t="s">
        <v>617</v>
      </c>
    </row>
    <row r="31" spans="1:18">
      <c r="A31" s="105" t="s">
        <v>621</v>
      </c>
      <c r="F31" s="105" t="s">
        <v>622</v>
      </c>
    </row>
    <row r="33" spans="1:17">
      <c r="B33" s="132"/>
      <c r="Q33" s="105" t="s">
        <v>461</v>
      </c>
    </row>
    <row r="34" spans="1:17">
      <c r="Q34" s="105" t="s">
        <v>462</v>
      </c>
    </row>
    <row r="35" spans="1:17">
      <c r="A35" s="105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9F29-38C5-472C-8E5E-E5E50ACC88DC}">
  <sheetPr>
    <pageSetUpPr fitToPage="1"/>
  </sheetPr>
  <dimension ref="A2:O34"/>
  <sheetViews>
    <sheetView workbookViewId="0"/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customWidth="1"/>
    <col min="9" max="9" width="16.5703125" style="105" customWidth="1"/>
    <col min="10" max="10" width="1.28515625" style="105" customWidth="1"/>
    <col min="11" max="11" width="12.7109375" style="105" customWidth="1"/>
    <col min="12" max="12" width="15.5703125" style="105" customWidth="1"/>
    <col min="13" max="13" width="1.7109375" style="105" customWidth="1"/>
    <col min="14" max="14" width="12.7109375" style="105" customWidth="1"/>
    <col min="15" max="15" width="14.7109375" style="105" customWidth="1"/>
    <col min="16" max="16384" width="9.140625" style="105"/>
  </cols>
  <sheetData>
    <row r="2" spans="1:15" ht="15.75">
      <c r="A2" s="440" t="s">
        <v>594</v>
      </c>
      <c r="B2" s="440"/>
      <c r="C2" s="440"/>
      <c r="D2" s="440"/>
      <c r="E2" s="440"/>
      <c r="F2" s="440"/>
    </row>
    <row r="3" spans="1:15" ht="15.75">
      <c r="H3" s="117" t="s">
        <v>469</v>
      </c>
      <c r="I3" s="117"/>
      <c r="K3" s="117" t="s">
        <v>478</v>
      </c>
      <c r="L3" s="117"/>
      <c r="N3" s="117" t="s">
        <v>482</v>
      </c>
      <c r="O3" s="117"/>
    </row>
    <row r="4" spans="1:15" ht="47.2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368" t="s">
        <v>472</v>
      </c>
      <c r="I4" s="368" t="s">
        <v>473</v>
      </c>
      <c r="K4" s="368" t="s">
        <v>472</v>
      </c>
      <c r="L4" s="368" t="s">
        <v>473</v>
      </c>
      <c r="N4" s="368" t="s">
        <v>472</v>
      </c>
      <c r="O4" s="368" t="s">
        <v>473</v>
      </c>
    </row>
    <row r="5" spans="1:15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  <c r="K5" s="106">
        <f>Rozpis_Příjmy!CX22</f>
        <v>0</v>
      </c>
      <c r="L5" s="106">
        <f>Rozpis_Příjmy!CY22</f>
        <v>6126400</v>
      </c>
      <c r="N5" s="106">
        <f>Rozpis_Příjmy!DA22</f>
        <v>0</v>
      </c>
      <c r="O5" s="106">
        <f>Rozpis_Příjmy!DB22</f>
        <v>6126400</v>
      </c>
    </row>
    <row r="6" spans="1:15">
      <c r="A6" s="105" t="s">
        <v>267</v>
      </c>
      <c r="B6" s="105" t="s">
        <v>268</v>
      </c>
      <c r="C6" s="106">
        <f>Rozpis_Příjmy!BO111</f>
        <v>514500</v>
      </c>
      <c r="D6" s="106">
        <f>Rozpis_Příjmy!CN111</f>
        <v>593640</v>
      </c>
      <c r="E6" s="106">
        <f>Rozpis_Příjmy!CP111</f>
        <v>435708.33</v>
      </c>
      <c r="F6" s="106">
        <f>Rozpis_Příjmy!CR111</f>
        <v>514800</v>
      </c>
      <c r="H6" s="106">
        <f>Rozpis_Příjmy!CU111</f>
        <v>-150000</v>
      </c>
      <c r="I6" s="106">
        <f>Rozpis_Příjmy!CV111</f>
        <v>364800</v>
      </c>
      <c r="K6" s="106">
        <f>Rozpis_Příjmy!CX111</f>
        <v>13000</v>
      </c>
      <c r="L6" s="106">
        <f>Rozpis_Příjmy!CY111</f>
        <v>377800</v>
      </c>
      <c r="N6" s="106">
        <f>Rozpis_Příjmy!DA111</f>
        <v>249450</v>
      </c>
      <c r="O6" s="106">
        <f>Rozpis_Příjmy!DB111</f>
        <v>627250</v>
      </c>
    </row>
    <row r="7" spans="1:15">
      <c r="A7" s="105" t="s">
        <v>269</v>
      </c>
      <c r="B7" s="105" t="s">
        <v>270</v>
      </c>
      <c r="C7" s="106">
        <f>Rozpis_Příjmy!BO89</f>
        <v>40000</v>
      </c>
      <c r="D7" s="106">
        <f>Rozpis_Příjmy!CN89</f>
        <v>70000</v>
      </c>
      <c r="E7" s="106">
        <f>Rozpis_Příjmy!CP89</f>
        <v>59144</v>
      </c>
      <c r="F7" s="106">
        <f>Rozpis_Příjmy!CR89</f>
        <v>30000</v>
      </c>
      <c r="H7" s="106">
        <f>Rozpis_Příjmy!CU89</f>
        <v>150000</v>
      </c>
      <c r="I7" s="106">
        <f>Rozpis_Příjmy!CV89</f>
        <v>180000</v>
      </c>
      <c r="K7" s="106">
        <f>Rozpis_Příjmy!CX89</f>
        <v>0</v>
      </c>
      <c r="L7" s="106">
        <f>Rozpis_Příjmy!CY89</f>
        <v>180000</v>
      </c>
      <c r="N7" s="106">
        <f>Rozpis_Příjmy!DA89</f>
        <v>0</v>
      </c>
      <c r="O7" s="106">
        <f>Rozpis_Příjmy!DB89</f>
        <v>180000</v>
      </c>
    </row>
    <row r="8" spans="1:15">
      <c r="A8" s="105" t="s">
        <v>271</v>
      </c>
      <c r="B8" s="105" t="s">
        <v>272</v>
      </c>
      <c r="C8" s="106">
        <f>Rozpis_Příjmy!BO33</f>
        <v>1228300</v>
      </c>
      <c r="D8" s="106">
        <f>Rozpis_Příjmy!CN33</f>
        <v>1377347.88</v>
      </c>
      <c r="E8" s="106">
        <f>Rozpis_Příjmy!CP33</f>
        <v>1377347.92</v>
      </c>
      <c r="F8" s="106">
        <f>Rozpis_Příjmy!CR33</f>
        <v>365188.89</v>
      </c>
      <c r="H8" s="106">
        <f>Rozpis_Příjmy!CU33</f>
        <v>0</v>
      </c>
      <c r="I8" s="106">
        <f>Rozpis_Příjmy!CV33</f>
        <v>365188.89</v>
      </c>
      <c r="K8" s="106">
        <f>Rozpis_Příjmy!CX33</f>
        <v>129761</v>
      </c>
      <c r="L8" s="106">
        <f>Rozpis_Příjmy!CY33</f>
        <v>494949.89</v>
      </c>
      <c r="N8" s="106">
        <f>Rozpis_Příjmy!DA33</f>
        <v>995684</v>
      </c>
      <c r="O8" s="106">
        <f>Rozpis_Příjmy!DB33</f>
        <v>1490633.8900000001</v>
      </c>
    </row>
    <row r="9" spans="1:15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  <c r="K9" s="116">
        <f>SUM(K5:K8)</f>
        <v>142761</v>
      </c>
      <c r="L9" s="116">
        <f>SUM(L5:L8)</f>
        <v>7179149.8899999997</v>
      </c>
      <c r="N9" s="116">
        <f>SUM(N5:N8)</f>
        <v>1245134</v>
      </c>
      <c r="O9" s="116">
        <f>SUM(O5:O8)</f>
        <v>8424283.8900000006</v>
      </c>
    </row>
    <row r="10" spans="1:15">
      <c r="H10" s="106"/>
      <c r="I10" s="106"/>
      <c r="K10" s="106"/>
      <c r="L10" s="106"/>
      <c r="N10" s="106"/>
      <c r="O10" s="106"/>
    </row>
    <row r="11" spans="1:15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  <c r="K11" s="114"/>
      <c r="L11" s="114"/>
      <c r="N11" s="114"/>
      <c r="O11" s="114"/>
    </row>
    <row r="12" spans="1:15">
      <c r="A12" s="105" t="s">
        <v>274</v>
      </c>
      <c r="B12" s="105" t="s">
        <v>275</v>
      </c>
      <c r="C12" s="106">
        <f>Rozpis_Výdaje!BM332</f>
        <v>7195600</v>
      </c>
      <c r="D12" s="106">
        <f>Rozpis_Výdaje!CY332</f>
        <v>7479854.8899999997</v>
      </c>
      <c r="E12" s="106">
        <f>Rozpis_Výdaje!DA332</f>
        <v>7594747.4400000004</v>
      </c>
      <c r="F12" s="106">
        <f>Rozpis_Výdaje!DC332</f>
        <v>6251689.0999999996</v>
      </c>
      <c r="H12" s="106">
        <f>Rozpis_Výdaje!DE332</f>
        <v>0</v>
      </c>
      <c r="I12" s="106">
        <f>Rozpis_Výdaje!DF332</f>
        <v>6251689.0999999996</v>
      </c>
      <c r="K12" s="106">
        <f>Rozpis_Výdaje!DH332</f>
        <v>57325</v>
      </c>
      <c r="L12" s="106">
        <f>Rozpis_Výdaje!DI332</f>
        <v>6309014.0999999996</v>
      </c>
      <c r="N12" s="106">
        <f>Rozpis_Výdaje!DK332</f>
        <v>249450</v>
      </c>
      <c r="O12" s="106">
        <f>Rozpis_Výdaje!DL332</f>
        <v>6558464.0999999996</v>
      </c>
    </row>
    <row r="13" spans="1:15">
      <c r="A13" s="105" t="s">
        <v>276</v>
      </c>
      <c r="B13" s="105" t="s">
        <v>277</v>
      </c>
      <c r="C13" s="106">
        <f>Rozpis_Výdaje!BM335</f>
        <v>2057900</v>
      </c>
      <c r="D13" s="106">
        <f>Rozpis_Výdaje!CY335</f>
        <v>2482600</v>
      </c>
      <c r="E13" s="106">
        <f>Rozpis_Výdaje!DA335</f>
        <v>2481231</v>
      </c>
      <c r="F13" s="106">
        <f>Rozpis_Výdaje!DC335</f>
        <v>539700</v>
      </c>
      <c r="G13" s="105" t="s">
        <v>457</v>
      </c>
      <c r="H13" s="106">
        <f>Rozpis_Výdaje!DE335</f>
        <v>0</v>
      </c>
      <c r="I13" s="106">
        <f>Rozpis_Výdaje!DF335</f>
        <v>539700</v>
      </c>
      <c r="K13" s="106">
        <f>Rozpis_Výdaje!DH335</f>
        <v>0</v>
      </c>
      <c r="L13" s="106">
        <f>Rozpis_Výdaje!DI335</f>
        <v>539700</v>
      </c>
      <c r="N13" s="106">
        <f>Rozpis_Výdaje!DK335</f>
        <v>866540.65999999992</v>
      </c>
      <c r="O13" s="106">
        <f>Rozpis_Výdaje!DL335</f>
        <v>1406240.66</v>
      </c>
    </row>
    <row r="14" spans="1:15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  <c r="K14" s="116">
        <f>K12+K13</f>
        <v>57325</v>
      </c>
      <c r="L14" s="116">
        <f>L12+L13</f>
        <v>6848714.0999999996</v>
      </c>
      <c r="N14" s="116">
        <f>N12+N13</f>
        <v>1115990.6599999999</v>
      </c>
      <c r="O14" s="116">
        <f>O12+O13</f>
        <v>7964704.7599999998</v>
      </c>
    </row>
    <row r="15" spans="1:15">
      <c r="H15" s="106"/>
      <c r="I15" s="106"/>
      <c r="K15" s="106"/>
      <c r="L15" s="106"/>
      <c r="N15" s="106"/>
      <c r="O15" s="106"/>
    </row>
    <row r="16" spans="1:15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  <c r="K16" s="108">
        <f>K9-K14</f>
        <v>85436</v>
      </c>
      <c r="L16" s="108">
        <f>L9-L14</f>
        <v>330435.79000000004</v>
      </c>
      <c r="N16" s="108">
        <f>N9-N14</f>
        <v>129143.34000000008</v>
      </c>
      <c r="O16" s="108">
        <f>O9-O14</f>
        <v>459579.13000000082</v>
      </c>
    </row>
    <row r="17" spans="1:15">
      <c r="H17" s="106"/>
      <c r="I17" s="106"/>
      <c r="K17" s="106"/>
      <c r="L17" s="106"/>
      <c r="N17" s="106"/>
      <c r="O17" s="106"/>
    </row>
    <row r="18" spans="1:15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  <c r="K18" s="114"/>
      <c r="L18" s="114"/>
      <c r="N18" s="114"/>
      <c r="O18" s="114"/>
    </row>
    <row r="19" spans="1:15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  <c r="K19" s="106"/>
      <c r="L19" s="106"/>
      <c r="N19" s="106"/>
      <c r="O19" s="106"/>
    </row>
    <row r="20" spans="1:15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  <c r="K20" s="106">
        <v>-85436</v>
      </c>
      <c r="L20" s="106">
        <v>-85436</v>
      </c>
      <c r="N20" s="106">
        <v>-129143</v>
      </c>
      <c r="O20" s="106">
        <f>N20+L20</f>
        <v>-214579</v>
      </c>
    </row>
    <row r="21" spans="1:15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  <c r="K21" s="106"/>
      <c r="L21" s="106"/>
      <c r="N21" s="106"/>
      <c r="O21" s="106"/>
    </row>
    <row r="22" spans="1:15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  <c r="K22" s="106">
        <v>0</v>
      </c>
      <c r="L22" s="106">
        <v>-245000</v>
      </c>
      <c r="N22" s="106">
        <v>0</v>
      </c>
      <c r="O22" s="106">
        <v>-245000</v>
      </c>
    </row>
    <row r="23" spans="1:15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  <c r="K23" s="116">
        <f>K19+K21+K22+K20</f>
        <v>-85436</v>
      </c>
      <c r="L23" s="116">
        <f>L19+L21+L22+L20</f>
        <v>-330436</v>
      </c>
      <c r="N23" s="116">
        <f>N19+N21+N22+N20</f>
        <v>-129143</v>
      </c>
      <c r="O23" s="116">
        <f>O19+O21+O22+O20</f>
        <v>-459579</v>
      </c>
    </row>
    <row r="24" spans="1:15">
      <c r="H24" s="106"/>
      <c r="I24" s="106"/>
      <c r="K24" s="106"/>
      <c r="L24" s="106"/>
      <c r="N24" s="106"/>
      <c r="O24" s="106"/>
    </row>
    <row r="25" spans="1:15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  <c r="K25" s="110">
        <f>K9-K14+K23</f>
        <v>0</v>
      </c>
      <c r="L25" s="110">
        <f>L9-L14+L23</f>
        <v>-0.2099999999627471</v>
      </c>
      <c r="N25" s="110">
        <f>N9-N14+N23</f>
        <v>0.34000000008381903</v>
      </c>
      <c r="O25" s="110">
        <f>O9-O14+O23</f>
        <v>0.13000000081956387</v>
      </c>
    </row>
    <row r="26" spans="1:15">
      <c r="D26" s="105" t="s">
        <v>457</v>
      </c>
    </row>
    <row r="27" spans="1:15">
      <c r="A27" s="105" t="s">
        <v>597</v>
      </c>
      <c r="F27" s="105" t="s">
        <v>596</v>
      </c>
    </row>
    <row r="28" spans="1:15">
      <c r="A28" s="105" t="s">
        <v>604</v>
      </c>
      <c r="F28" s="105" t="s">
        <v>607</v>
      </c>
    </row>
    <row r="29" spans="1:15">
      <c r="A29" s="105" t="s">
        <v>605</v>
      </c>
      <c r="F29" s="105" t="s">
        <v>606</v>
      </c>
    </row>
    <row r="30" spans="1:15">
      <c r="A30" s="105" t="s">
        <v>609</v>
      </c>
      <c r="F30" s="105" t="s">
        <v>617</v>
      </c>
    </row>
    <row r="32" spans="1:15">
      <c r="B32" s="132"/>
      <c r="L32" s="105" t="s">
        <v>461</v>
      </c>
    </row>
    <row r="33" spans="1:12">
      <c r="L33" s="105" t="s">
        <v>462</v>
      </c>
    </row>
    <row r="34" spans="1:12">
      <c r="A34" s="105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7F2E8-A0D5-4A49-81C2-7F1D819688FA}">
  <sheetPr>
    <pageSetUpPr fitToPage="1"/>
  </sheetPr>
  <dimension ref="A2:O34"/>
  <sheetViews>
    <sheetView workbookViewId="0"/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customWidth="1"/>
    <col min="9" max="9" width="16.5703125" style="105" customWidth="1"/>
    <col min="10" max="10" width="1.28515625" style="105" customWidth="1"/>
    <col min="11" max="11" width="12.7109375" style="105" customWidth="1"/>
    <col min="12" max="12" width="15.5703125" style="105" customWidth="1"/>
    <col min="13" max="13" width="1.7109375" style="105" customWidth="1"/>
    <col min="14" max="14" width="19.42578125" style="105" customWidth="1"/>
    <col min="15" max="15" width="17.28515625" style="105" customWidth="1"/>
    <col min="16" max="16384" width="9.140625" style="105"/>
  </cols>
  <sheetData>
    <row r="2" spans="1:15" ht="15.75">
      <c r="A2" s="440" t="s">
        <v>594</v>
      </c>
      <c r="B2" s="440"/>
      <c r="C2" s="440"/>
      <c r="D2" s="440"/>
      <c r="E2" s="440"/>
      <c r="F2" s="440"/>
    </row>
    <row r="3" spans="1:15" ht="15.75">
      <c r="H3" s="117" t="s">
        <v>469</v>
      </c>
      <c r="I3" s="117"/>
      <c r="K3" s="117" t="s">
        <v>478</v>
      </c>
      <c r="L3" s="117"/>
      <c r="N3" s="117" t="s">
        <v>615</v>
      </c>
      <c r="O3" s="117"/>
    </row>
    <row r="4" spans="1:15" ht="47.2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368" t="s">
        <v>472</v>
      </c>
      <c r="I4" s="368" t="s">
        <v>473</v>
      </c>
      <c r="K4" s="368" t="s">
        <v>472</v>
      </c>
      <c r="L4" s="368" t="s">
        <v>473</v>
      </c>
      <c r="N4" s="368" t="s">
        <v>472</v>
      </c>
      <c r="O4" s="368" t="s">
        <v>473</v>
      </c>
    </row>
    <row r="5" spans="1:15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  <c r="K5" s="106">
        <f>Rozpis_Příjmy!CX22</f>
        <v>0</v>
      </c>
      <c r="L5" s="106">
        <f>Rozpis_Příjmy!CY22</f>
        <v>6126400</v>
      </c>
      <c r="N5" s="106">
        <f>Rozpis_Příjmy!DA22</f>
        <v>0</v>
      </c>
      <c r="O5" s="106">
        <f>Rozpis_Příjmy!DB22</f>
        <v>6126400</v>
      </c>
    </row>
    <row r="6" spans="1:15">
      <c r="A6" s="105" t="s">
        <v>267</v>
      </c>
      <c r="B6" s="105" t="s">
        <v>268</v>
      </c>
      <c r="C6" s="106">
        <f>Rozpis_Příjmy!BO111</f>
        <v>514500</v>
      </c>
      <c r="D6" s="106">
        <f>Rozpis_Příjmy!CN111</f>
        <v>593640</v>
      </c>
      <c r="E6" s="106">
        <f>Rozpis_Příjmy!CP111</f>
        <v>435708.33</v>
      </c>
      <c r="F6" s="106">
        <f>Rozpis_Příjmy!CR111</f>
        <v>514800</v>
      </c>
      <c r="H6" s="106">
        <f>Rozpis_Příjmy!CU111</f>
        <v>-150000</v>
      </c>
      <c r="I6" s="106">
        <f>Rozpis_Příjmy!CV111</f>
        <v>364800</v>
      </c>
      <c r="K6" s="106">
        <f>Rozpis_Příjmy!CX111</f>
        <v>13000</v>
      </c>
      <c r="L6" s="106">
        <f>Rozpis_Příjmy!CY111</f>
        <v>377800</v>
      </c>
      <c r="N6" s="106">
        <f>Rozpis_Příjmy!DA111</f>
        <v>249450</v>
      </c>
      <c r="O6" s="106">
        <f>Rozpis_Příjmy!DB111</f>
        <v>627250</v>
      </c>
    </row>
    <row r="7" spans="1:15">
      <c r="A7" s="105" t="s">
        <v>269</v>
      </c>
      <c r="B7" s="105" t="s">
        <v>270</v>
      </c>
      <c r="C7" s="106">
        <f>Rozpis_Příjmy!BO89</f>
        <v>40000</v>
      </c>
      <c r="D7" s="106">
        <f>Rozpis_Příjmy!CN89</f>
        <v>70000</v>
      </c>
      <c r="E7" s="106">
        <f>Rozpis_Příjmy!CP89</f>
        <v>59144</v>
      </c>
      <c r="F7" s="106">
        <f>Rozpis_Příjmy!CR89</f>
        <v>30000</v>
      </c>
      <c r="H7" s="106">
        <f>Rozpis_Příjmy!CU89</f>
        <v>150000</v>
      </c>
      <c r="I7" s="106">
        <f>Rozpis_Příjmy!CV89</f>
        <v>180000</v>
      </c>
      <c r="K7" s="106">
        <f>Rozpis_Příjmy!CX89</f>
        <v>0</v>
      </c>
      <c r="L7" s="106">
        <f>Rozpis_Příjmy!CY89</f>
        <v>180000</v>
      </c>
      <c r="N7" s="106">
        <f>Rozpis_Příjmy!DA89</f>
        <v>0</v>
      </c>
      <c r="O7" s="106">
        <f>Rozpis_Příjmy!DB89</f>
        <v>180000</v>
      </c>
    </row>
    <row r="8" spans="1:15">
      <c r="A8" s="105" t="s">
        <v>271</v>
      </c>
      <c r="B8" s="105" t="s">
        <v>272</v>
      </c>
      <c r="C8" s="106">
        <f>Rozpis_Příjmy!BO33</f>
        <v>1228300</v>
      </c>
      <c r="D8" s="106">
        <f>Rozpis_Příjmy!CN33</f>
        <v>1377347.88</v>
      </c>
      <c r="E8" s="106">
        <f>Rozpis_Příjmy!CP33</f>
        <v>1377347.92</v>
      </c>
      <c r="F8" s="106">
        <f>Rozpis_Příjmy!CR33</f>
        <v>365188.89</v>
      </c>
      <c r="H8" s="106">
        <f>Rozpis_Příjmy!CU33</f>
        <v>0</v>
      </c>
      <c r="I8" s="106">
        <f>Rozpis_Příjmy!CV33</f>
        <v>365188.89</v>
      </c>
      <c r="K8" s="106">
        <f>Rozpis_Příjmy!CX33</f>
        <v>129761</v>
      </c>
      <c r="L8" s="106">
        <f>Rozpis_Příjmy!CY33</f>
        <v>494949.89</v>
      </c>
      <c r="N8" s="106">
        <f>Rozpis_Příjmy!DA33</f>
        <v>995684</v>
      </c>
      <c r="O8" s="106">
        <f>Rozpis_Příjmy!DB33</f>
        <v>1490633.8900000001</v>
      </c>
    </row>
    <row r="9" spans="1:15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  <c r="K9" s="116">
        <f>SUM(K5:K8)</f>
        <v>142761</v>
      </c>
      <c r="L9" s="116">
        <f>SUM(L5:L8)</f>
        <v>7179149.8899999997</v>
      </c>
      <c r="N9" s="116">
        <f>SUM(N5:N8)</f>
        <v>1245134</v>
      </c>
      <c r="O9" s="116">
        <f>SUM(O5:O8)</f>
        <v>8424283.8900000006</v>
      </c>
    </row>
    <row r="10" spans="1:15">
      <c r="H10" s="106"/>
      <c r="I10" s="106"/>
      <c r="K10" s="106"/>
      <c r="L10" s="106"/>
      <c r="N10" s="106"/>
      <c r="O10" s="106"/>
    </row>
    <row r="11" spans="1:15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  <c r="K11" s="114"/>
      <c r="L11" s="114"/>
      <c r="N11" s="114"/>
      <c r="O11" s="114"/>
    </row>
    <row r="12" spans="1:15">
      <c r="A12" s="105" t="s">
        <v>274</v>
      </c>
      <c r="B12" s="105" t="s">
        <v>275</v>
      </c>
      <c r="C12" s="106">
        <f>Rozpis_Výdaje!BM332</f>
        <v>7195600</v>
      </c>
      <c r="D12" s="106">
        <f>Rozpis_Výdaje!CY332</f>
        <v>7479854.8899999997</v>
      </c>
      <c r="E12" s="106">
        <f>Rozpis_Výdaje!DA332</f>
        <v>7594747.4400000004</v>
      </c>
      <c r="F12" s="106">
        <f>Rozpis_Výdaje!DC332</f>
        <v>6251689.0999999996</v>
      </c>
      <c r="H12" s="106">
        <f>Rozpis_Výdaje!DE332</f>
        <v>0</v>
      </c>
      <c r="I12" s="106">
        <f>Rozpis_Výdaje!DF332</f>
        <v>6251689.0999999996</v>
      </c>
      <c r="K12" s="106">
        <f>Rozpis_Výdaje!DH332</f>
        <v>57325</v>
      </c>
      <c r="L12" s="106">
        <f>Rozpis_Výdaje!DI332</f>
        <v>6309014.0999999996</v>
      </c>
      <c r="N12" s="106">
        <f>Rozpis_Výdaje!DK332</f>
        <v>249450</v>
      </c>
      <c r="O12" s="106">
        <f>Rozpis_Výdaje!DL332</f>
        <v>6558464.0999999996</v>
      </c>
    </row>
    <row r="13" spans="1:15">
      <c r="A13" s="105" t="s">
        <v>276</v>
      </c>
      <c r="B13" s="105" t="s">
        <v>277</v>
      </c>
      <c r="C13" s="106">
        <f>Rozpis_Výdaje!BM335</f>
        <v>2057900</v>
      </c>
      <c r="D13" s="106">
        <f>Rozpis_Výdaje!CY335</f>
        <v>2482600</v>
      </c>
      <c r="E13" s="106">
        <f>Rozpis_Výdaje!DA335</f>
        <v>2481231</v>
      </c>
      <c r="F13" s="106">
        <f>Rozpis_Výdaje!DC335</f>
        <v>539700</v>
      </c>
      <c r="G13" s="105" t="s">
        <v>457</v>
      </c>
      <c r="H13" s="106">
        <f>Rozpis_Výdaje!DE335</f>
        <v>0</v>
      </c>
      <c r="I13" s="106">
        <f>Rozpis_Výdaje!DF335</f>
        <v>539700</v>
      </c>
      <c r="K13" s="106">
        <f>Rozpis_Výdaje!DH335</f>
        <v>0</v>
      </c>
      <c r="L13" s="106">
        <f>Rozpis_Výdaje!DI335</f>
        <v>539700</v>
      </c>
      <c r="N13" s="106">
        <f>Rozpis_Výdaje!DK335</f>
        <v>866540.65999999992</v>
      </c>
      <c r="O13" s="106">
        <f>Rozpis_Výdaje!DL335</f>
        <v>1406240.66</v>
      </c>
    </row>
    <row r="14" spans="1:15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  <c r="K14" s="116">
        <f>K12+K13</f>
        <v>57325</v>
      </c>
      <c r="L14" s="116">
        <f>L12+L13</f>
        <v>6848714.0999999996</v>
      </c>
      <c r="N14" s="116">
        <f>N12+N13</f>
        <v>1115990.6599999999</v>
      </c>
      <c r="O14" s="116">
        <f>O12+O13</f>
        <v>7964704.7599999998</v>
      </c>
    </row>
    <row r="15" spans="1:15">
      <c r="H15" s="106"/>
      <c r="I15" s="106"/>
      <c r="K15" s="106"/>
      <c r="L15" s="106"/>
      <c r="N15" s="106"/>
      <c r="O15" s="106"/>
    </row>
    <row r="16" spans="1:15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  <c r="K16" s="108">
        <f>K9-K14</f>
        <v>85436</v>
      </c>
      <c r="L16" s="108">
        <f>L9-L14</f>
        <v>330435.79000000004</v>
      </c>
      <c r="N16" s="108">
        <f>N9-N14</f>
        <v>129143.34000000008</v>
      </c>
      <c r="O16" s="108">
        <f>O9-O14</f>
        <v>459579.13000000082</v>
      </c>
    </row>
    <row r="17" spans="1:15">
      <c r="H17" s="106"/>
      <c r="I17" s="106"/>
      <c r="K17" s="106"/>
      <c r="L17" s="106"/>
      <c r="N17" s="106"/>
      <c r="O17" s="106"/>
    </row>
    <row r="18" spans="1:15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  <c r="K18" s="114"/>
      <c r="L18" s="114"/>
      <c r="N18" s="114"/>
      <c r="O18" s="114"/>
    </row>
    <row r="19" spans="1:15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  <c r="K19" s="106"/>
      <c r="L19" s="106"/>
      <c r="N19" s="106"/>
      <c r="O19" s="106"/>
    </row>
    <row r="20" spans="1:15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  <c r="K20" s="106">
        <v>-85436</v>
      </c>
      <c r="L20" s="106">
        <v>-85436</v>
      </c>
      <c r="N20" s="106">
        <v>-129143</v>
      </c>
      <c r="O20" s="106">
        <f>N20+L20</f>
        <v>-214579</v>
      </c>
    </row>
    <row r="21" spans="1:15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  <c r="K21" s="106"/>
      <c r="L21" s="106"/>
      <c r="N21" s="106"/>
      <c r="O21" s="106"/>
    </row>
    <row r="22" spans="1:15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  <c r="K22" s="106">
        <v>0</v>
      </c>
      <c r="L22" s="106">
        <v>-245000</v>
      </c>
      <c r="N22" s="106">
        <v>0</v>
      </c>
      <c r="O22" s="106">
        <v>-245000</v>
      </c>
    </row>
    <row r="23" spans="1:15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  <c r="K23" s="116">
        <f>K19+K21+K22+K20</f>
        <v>-85436</v>
      </c>
      <c r="L23" s="116">
        <f>L19+L21+L22+L20</f>
        <v>-330436</v>
      </c>
      <c r="N23" s="116">
        <f>N19+N21+N22+N20</f>
        <v>-129143</v>
      </c>
      <c r="O23" s="116">
        <f>O19+O21+O22+O20</f>
        <v>-459579</v>
      </c>
    </row>
    <row r="24" spans="1:15">
      <c r="H24" s="106"/>
      <c r="I24" s="106"/>
      <c r="K24" s="106"/>
      <c r="L24" s="106"/>
      <c r="N24" s="106"/>
      <c r="O24" s="106"/>
    </row>
    <row r="25" spans="1:15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  <c r="K25" s="110">
        <f>K9-K14+K23</f>
        <v>0</v>
      </c>
      <c r="L25" s="110">
        <f>L9-L14+L23</f>
        <v>-0.2099999999627471</v>
      </c>
      <c r="N25" s="110">
        <f>N9-N14+N23</f>
        <v>0.34000000008381903</v>
      </c>
      <c r="O25" s="110">
        <f>O9-O14+O23</f>
        <v>0.13000000081956387</v>
      </c>
    </row>
    <row r="26" spans="1:15">
      <c r="D26" s="105" t="s">
        <v>457</v>
      </c>
    </row>
    <row r="27" spans="1:15">
      <c r="A27" s="105" t="s">
        <v>597</v>
      </c>
      <c r="F27" s="105" t="s">
        <v>596</v>
      </c>
    </row>
    <row r="28" spans="1:15">
      <c r="A28" s="105" t="s">
        <v>604</v>
      </c>
      <c r="F28" s="105" t="s">
        <v>607</v>
      </c>
    </row>
    <row r="29" spans="1:15">
      <c r="A29" s="105" t="s">
        <v>605</v>
      </c>
      <c r="F29" s="105" t="s">
        <v>606</v>
      </c>
    </row>
    <row r="32" spans="1:15">
      <c r="A32" s="105" t="s">
        <v>616</v>
      </c>
      <c r="B32" s="132"/>
      <c r="L32" s="105" t="s">
        <v>461</v>
      </c>
    </row>
    <row r="33" spans="1:12">
      <c r="L33" s="105" t="s">
        <v>462</v>
      </c>
    </row>
    <row r="34" spans="1:12">
      <c r="A34" s="105" t="s">
        <v>618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L34"/>
  <sheetViews>
    <sheetView workbookViewId="0"/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customWidth="1"/>
    <col min="9" max="9" width="16.5703125" style="105" customWidth="1"/>
    <col min="10" max="10" width="1.28515625" style="105" customWidth="1"/>
    <col min="11" max="11" width="12.7109375" style="105" customWidth="1"/>
    <col min="12" max="12" width="15.5703125" style="105" customWidth="1"/>
    <col min="13" max="16384" width="9.140625" style="105"/>
  </cols>
  <sheetData>
    <row r="2" spans="1:12" ht="23.25">
      <c r="A2" s="431" t="s">
        <v>594</v>
      </c>
      <c r="B2" s="431"/>
      <c r="C2" s="431"/>
      <c r="D2" s="431"/>
      <c r="E2" s="431"/>
      <c r="F2" s="431"/>
    </row>
    <row r="3" spans="1:12" ht="15.75">
      <c r="H3" s="117" t="s">
        <v>469</v>
      </c>
      <c r="I3" s="117"/>
      <c r="K3" s="117" t="s">
        <v>478</v>
      </c>
      <c r="L3" s="117"/>
    </row>
    <row r="4" spans="1:12" ht="31.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222" t="s">
        <v>472</v>
      </c>
      <c r="I4" s="222" t="s">
        <v>473</v>
      </c>
      <c r="K4" s="222" t="s">
        <v>472</v>
      </c>
      <c r="L4" s="222" t="s">
        <v>473</v>
      </c>
    </row>
    <row r="5" spans="1:12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  <c r="K5" s="106">
        <f>Rozpis_Příjmy!CX22</f>
        <v>0</v>
      </c>
      <c r="L5" s="106">
        <f>Rozpis_Příjmy!CY22</f>
        <v>6126400</v>
      </c>
    </row>
    <row r="6" spans="1:12">
      <c r="A6" s="105" t="s">
        <v>267</v>
      </c>
      <c r="B6" s="105" t="s">
        <v>268</v>
      </c>
      <c r="C6" s="106">
        <f>Rozpis_Příjmy!BO111</f>
        <v>514500</v>
      </c>
      <c r="D6" s="106">
        <f>Rozpis_Příjmy!CN111</f>
        <v>593640</v>
      </c>
      <c r="E6" s="106">
        <f>Rozpis_Příjmy!CP111</f>
        <v>435708.33</v>
      </c>
      <c r="F6" s="106">
        <f>Rozpis_Příjmy!CR111</f>
        <v>514800</v>
      </c>
      <c r="H6" s="106">
        <f>Rozpis_Příjmy!CU111</f>
        <v>-150000</v>
      </c>
      <c r="I6" s="106">
        <f>Rozpis_Příjmy!CV111</f>
        <v>364800</v>
      </c>
      <c r="K6" s="106">
        <f>Rozpis_Příjmy!CX111</f>
        <v>13000</v>
      </c>
      <c r="L6" s="106">
        <f>Rozpis_Příjmy!CY111</f>
        <v>377800</v>
      </c>
    </row>
    <row r="7" spans="1:12">
      <c r="A7" s="105" t="s">
        <v>269</v>
      </c>
      <c r="B7" s="105" t="s">
        <v>270</v>
      </c>
      <c r="C7" s="106">
        <f>Rozpis_Příjmy!BO89</f>
        <v>40000</v>
      </c>
      <c r="D7" s="106">
        <f>Rozpis_Příjmy!CN89</f>
        <v>70000</v>
      </c>
      <c r="E7" s="106">
        <f>Rozpis_Příjmy!CP89</f>
        <v>59144</v>
      </c>
      <c r="F7" s="106">
        <f>Rozpis_Příjmy!CR89</f>
        <v>30000</v>
      </c>
      <c r="H7" s="106">
        <f>Rozpis_Příjmy!CU89</f>
        <v>150000</v>
      </c>
      <c r="I7" s="106">
        <f>Rozpis_Příjmy!CV89</f>
        <v>180000</v>
      </c>
      <c r="K7" s="106">
        <f>Rozpis_Příjmy!CX89</f>
        <v>0</v>
      </c>
      <c r="L7" s="106">
        <f>Rozpis_Příjmy!CY89</f>
        <v>180000</v>
      </c>
    </row>
    <row r="8" spans="1:12">
      <c r="A8" s="105" t="s">
        <v>271</v>
      </c>
      <c r="B8" s="105" t="s">
        <v>272</v>
      </c>
      <c r="C8" s="106">
        <f>Rozpis_Příjmy!BO33</f>
        <v>1228300</v>
      </c>
      <c r="D8" s="106">
        <f>Rozpis_Příjmy!CN33</f>
        <v>1377347.88</v>
      </c>
      <c r="E8" s="106">
        <f>Rozpis_Příjmy!CP33</f>
        <v>1377347.92</v>
      </c>
      <c r="F8" s="106">
        <f>Rozpis_Příjmy!CR33</f>
        <v>365188.89</v>
      </c>
      <c r="H8" s="106">
        <f>Rozpis_Příjmy!CU33</f>
        <v>0</v>
      </c>
      <c r="I8" s="106">
        <f>Rozpis_Příjmy!CV33</f>
        <v>365188.89</v>
      </c>
      <c r="K8" s="106">
        <f>Rozpis_Příjmy!CX33</f>
        <v>129761</v>
      </c>
      <c r="L8" s="106">
        <f>Rozpis_Příjmy!CY33</f>
        <v>494949.89</v>
      </c>
    </row>
    <row r="9" spans="1:12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  <c r="K9" s="116">
        <f>SUM(K5:K8)</f>
        <v>142761</v>
      </c>
      <c r="L9" s="116">
        <f>SUM(L5:L8)</f>
        <v>7179149.8899999997</v>
      </c>
    </row>
    <row r="10" spans="1:12">
      <c r="H10" s="106"/>
      <c r="I10" s="106"/>
      <c r="K10" s="106"/>
      <c r="L10" s="106"/>
    </row>
    <row r="11" spans="1:12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  <c r="K11" s="114"/>
      <c r="L11" s="114"/>
    </row>
    <row r="12" spans="1:12">
      <c r="A12" s="105" t="s">
        <v>274</v>
      </c>
      <c r="B12" s="105" t="s">
        <v>275</v>
      </c>
      <c r="C12" s="106">
        <f>Rozpis_Výdaje!BM332</f>
        <v>7195600</v>
      </c>
      <c r="D12" s="106">
        <f>Rozpis_Výdaje!CY332</f>
        <v>7479854.8899999997</v>
      </c>
      <c r="E12" s="106">
        <f>Rozpis_Výdaje!DA332</f>
        <v>7594747.4400000004</v>
      </c>
      <c r="F12" s="106">
        <f>Rozpis_Výdaje!DC332</f>
        <v>6251689.0999999996</v>
      </c>
      <c r="H12" s="106">
        <f>Rozpis_Výdaje!DE332</f>
        <v>0</v>
      </c>
      <c r="I12" s="106">
        <f>Rozpis_Výdaje!DF332</f>
        <v>6251689.0999999996</v>
      </c>
      <c r="K12" s="106">
        <f>Rozpis_Výdaje!DH332</f>
        <v>57325</v>
      </c>
      <c r="L12" s="106">
        <f>Rozpis_Výdaje!DI332</f>
        <v>6309014.0999999996</v>
      </c>
    </row>
    <row r="13" spans="1:12">
      <c r="A13" s="105" t="s">
        <v>276</v>
      </c>
      <c r="B13" s="105" t="s">
        <v>277</v>
      </c>
      <c r="C13" s="106">
        <f>Rozpis_Výdaje!BM335</f>
        <v>2057900</v>
      </c>
      <c r="D13" s="106">
        <f>Rozpis_Výdaje!CY335</f>
        <v>2482600</v>
      </c>
      <c r="E13" s="106">
        <f>Rozpis_Výdaje!DA335</f>
        <v>2481231</v>
      </c>
      <c r="F13" s="106">
        <f>Rozpis_Výdaje!DC335</f>
        <v>539700</v>
      </c>
      <c r="G13" s="105" t="s">
        <v>457</v>
      </c>
      <c r="H13" s="106">
        <f>Rozpis_Výdaje!DE335</f>
        <v>0</v>
      </c>
      <c r="I13" s="106">
        <f>Rozpis_Výdaje!DF335</f>
        <v>539700</v>
      </c>
      <c r="K13" s="106">
        <f>Rozpis_Výdaje!DH335</f>
        <v>0</v>
      </c>
      <c r="L13" s="106">
        <f>Rozpis_Výdaje!DI335</f>
        <v>539700</v>
      </c>
    </row>
    <row r="14" spans="1:12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  <c r="K14" s="116">
        <f>K12+K13</f>
        <v>57325</v>
      </c>
      <c r="L14" s="116">
        <f>L12+L13</f>
        <v>6848714.0999999996</v>
      </c>
    </row>
    <row r="15" spans="1:12">
      <c r="H15" s="106"/>
      <c r="I15" s="106"/>
      <c r="K15" s="106"/>
      <c r="L15" s="106"/>
    </row>
    <row r="16" spans="1:12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  <c r="K16" s="108">
        <f>K9-K14</f>
        <v>85436</v>
      </c>
      <c r="L16" s="108">
        <f>L9-L14</f>
        <v>330435.79000000004</v>
      </c>
    </row>
    <row r="17" spans="1:12">
      <c r="H17" s="106"/>
      <c r="I17" s="106"/>
      <c r="K17" s="106"/>
      <c r="L17" s="106"/>
    </row>
    <row r="18" spans="1:12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  <c r="K18" s="114"/>
      <c r="L18" s="114"/>
    </row>
    <row r="19" spans="1:12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  <c r="K19" s="106"/>
      <c r="L19" s="106"/>
    </row>
    <row r="20" spans="1:12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  <c r="K20" s="106">
        <v>-85436</v>
      </c>
      <c r="L20" s="106">
        <v>-85436</v>
      </c>
    </row>
    <row r="21" spans="1:12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  <c r="K21" s="106"/>
      <c r="L21" s="106"/>
    </row>
    <row r="22" spans="1:12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  <c r="K22" s="106">
        <v>0</v>
      </c>
      <c r="L22" s="106">
        <v>-245000</v>
      </c>
    </row>
    <row r="23" spans="1:12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  <c r="K23" s="116">
        <f>K19+K21+K22+K20</f>
        <v>-85436</v>
      </c>
      <c r="L23" s="116">
        <f>L19+L21+L22+L20</f>
        <v>-330436</v>
      </c>
    </row>
    <row r="24" spans="1:12">
      <c r="H24" s="106"/>
      <c r="I24" s="106"/>
      <c r="K24" s="106"/>
      <c r="L24" s="106"/>
    </row>
    <row r="25" spans="1:12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  <c r="K25" s="110">
        <f>K9-K14+K23</f>
        <v>0</v>
      </c>
      <c r="L25" s="110">
        <f>L9-L14+L23</f>
        <v>-0.2099999999627471</v>
      </c>
    </row>
    <row r="26" spans="1:12">
      <c r="D26" s="105" t="s">
        <v>457</v>
      </c>
    </row>
    <row r="27" spans="1:12">
      <c r="A27" s="105" t="s">
        <v>597</v>
      </c>
      <c r="E27" s="104" t="s">
        <v>596</v>
      </c>
    </row>
    <row r="28" spans="1:12">
      <c r="A28" s="105" t="s">
        <v>604</v>
      </c>
      <c r="E28" s="104" t="s">
        <v>607</v>
      </c>
    </row>
    <row r="29" spans="1:12">
      <c r="A29" s="105" t="s">
        <v>605</v>
      </c>
      <c r="E29" s="104" t="s">
        <v>606</v>
      </c>
    </row>
    <row r="30" spans="1:12">
      <c r="E30" s="104"/>
    </row>
    <row r="32" spans="1:12">
      <c r="B32" s="132"/>
      <c r="I32" s="219" t="s">
        <v>461</v>
      </c>
    </row>
    <row r="33" spans="1:9">
      <c r="A33" s="104"/>
      <c r="I33" s="219" t="s">
        <v>462</v>
      </c>
    </row>
    <row r="34" spans="1:9">
      <c r="A34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I34"/>
  <sheetViews>
    <sheetView workbookViewId="0">
      <selection activeCell="A28" sqref="A28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customWidth="1"/>
    <col min="9" max="9" width="16.5703125" style="105" customWidth="1"/>
    <col min="10" max="16384" width="9.140625" style="105"/>
  </cols>
  <sheetData>
    <row r="2" spans="1:9" ht="23.25">
      <c r="A2" s="431" t="s">
        <v>594</v>
      </c>
      <c r="B2" s="431"/>
      <c r="C2" s="431"/>
      <c r="D2" s="431"/>
      <c r="E2" s="431"/>
      <c r="F2" s="431"/>
    </row>
    <row r="3" spans="1:9" ht="15.75">
      <c r="H3" s="117" t="s">
        <v>469</v>
      </c>
      <c r="I3" s="117"/>
    </row>
    <row r="4" spans="1:9" ht="31.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222" t="s">
        <v>472</v>
      </c>
      <c r="I4" s="222" t="s">
        <v>473</v>
      </c>
    </row>
    <row r="5" spans="1:9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</row>
    <row r="6" spans="1:9">
      <c r="A6" s="105" t="s">
        <v>267</v>
      </c>
      <c r="B6" s="105" t="s">
        <v>268</v>
      </c>
      <c r="C6" s="106">
        <f>Rozpis_Příjmy!BO111</f>
        <v>514500</v>
      </c>
      <c r="D6" s="106">
        <f>Rozpis_Příjmy!CN111</f>
        <v>593640</v>
      </c>
      <c r="E6" s="106">
        <f>Rozpis_Příjmy!CP111</f>
        <v>435708.33</v>
      </c>
      <c r="F6" s="106">
        <f>Rozpis_Příjmy!CR111</f>
        <v>514800</v>
      </c>
      <c r="H6" s="106">
        <f>Rozpis_Příjmy!CU111</f>
        <v>-150000</v>
      </c>
      <c r="I6" s="106">
        <f>Rozpis_Příjmy!CV111</f>
        <v>364800</v>
      </c>
    </row>
    <row r="7" spans="1:9">
      <c r="A7" s="105" t="s">
        <v>269</v>
      </c>
      <c r="B7" s="105" t="s">
        <v>270</v>
      </c>
      <c r="C7" s="106">
        <f>Rozpis_Příjmy!BO89</f>
        <v>40000</v>
      </c>
      <c r="D7" s="106">
        <f>Rozpis_Příjmy!CN89</f>
        <v>70000</v>
      </c>
      <c r="E7" s="106">
        <f>Rozpis_Příjmy!CP89</f>
        <v>59144</v>
      </c>
      <c r="F7" s="106">
        <f>Rozpis_Příjmy!CR89</f>
        <v>30000</v>
      </c>
      <c r="H7" s="106">
        <f>Rozpis_Příjmy!CU89</f>
        <v>150000</v>
      </c>
      <c r="I7" s="106">
        <f>Rozpis_Příjmy!CV89</f>
        <v>180000</v>
      </c>
    </row>
    <row r="8" spans="1:9">
      <c r="A8" s="105" t="s">
        <v>271</v>
      </c>
      <c r="B8" s="105" t="s">
        <v>272</v>
      </c>
      <c r="C8" s="106">
        <f>Rozpis_Příjmy!BO33</f>
        <v>1228300</v>
      </c>
      <c r="D8" s="106">
        <f>Rozpis_Příjmy!CN33</f>
        <v>1377347.88</v>
      </c>
      <c r="E8" s="106">
        <f>Rozpis_Příjmy!CP33</f>
        <v>1377347.92</v>
      </c>
      <c r="F8" s="106">
        <f>Rozpis_Příjmy!CR33</f>
        <v>365188.89</v>
      </c>
      <c r="H8" s="106">
        <f>Rozpis_Příjmy!CU33</f>
        <v>0</v>
      </c>
      <c r="I8" s="106">
        <f>Rozpis_Příjmy!CV33</f>
        <v>365188.89</v>
      </c>
    </row>
    <row r="9" spans="1:9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</row>
    <row r="10" spans="1:9">
      <c r="H10" s="106"/>
      <c r="I10" s="106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</row>
    <row r="12" spans="1:9">
      <c r="A12" s="105" t="s">
        <v>274</v>
      </c>
      <c r="B12" s="105" t="s">
        <v>275</v>
      </c>
      <c r="C12" s="106">
        <f>Rozpis_Výdaje!BM332</f>
        <v>7195600</v>
      </c>
      <c r="D12" s="106">
        <f>Rozpis_Výdaje!CY332</f>
        <v>7479854.8899999997</v>
      </c>
      <c r="E12" s="106">
        <f>Rozpis_Výdaje!DA332</f>
        <v>7594747.4400000004</v>
      </c>
      <c r="F12" s="106">
        <f>Rozpis_Výdaje!DC332</f>
        <v>6251689.0999999996</v>
      </c>
      <c r="H12" s="106">
        <f>Rozpis_Výdaje!DE332</f>
        <v>0</v>
      </c>
      <c r="I12" s="106">
        <f>Rozpis_Výdaje!DF332</f>
        <v>6251689.0999999996</v>
      </c>
    </row>
    <row r="13" spans="1:9">
      <c r="A13" s="105" t="s">
        <v>276</v>
      </c>
      <c r="B13" s="105" t="s">
        <v>277</v>
      </c>
      <c r="C13" s="106">
        <f>Rozpis_Výdaje!BM335</f>
        <v>2057900</v>
      </c>
      <c r="D13" s="106">
        <f>Rozpis_Výdaje!CY335</f>
        <v>2482600</v>
      </c>
      <c r="E13" s="106">
        <f>Rozpis_Výdaje!DA335</f>
        <v>2481231</v>
      </c>
      <c r="F13" s="106">
        <f>Rozpis_Výdaje!DC335</f>
        <v>539700</v>
      </c>
      <c r="G13" s="105" t="s">
        <v>457</v>
      </c>
      <c r="H13" s="106">
        <f>Rozpis_Výdaje!DE335</f>
        <v>0</v>
      </c>
      <c r="I13" s="106">
        <f>Rozpis_Výdaje!DF335</f>
        <v>539700</v>
      </c>
    </row>
    <row r="14" spans="1:9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</row>
    <row r="15" spans="1:9">
      <c r="H15" s="106"/>
      <c r="I15" s="106"/>
    </row>
    <row r="16" spans="1:9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</row>
    <row r="17" spans="1:9">
      <c r="H17" s="106"/>
      <c r="I17" s="106"/>
    </row>
    <row r="18" spans="1:9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</row>
    <row r="19" spans="1:9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</row>
    <row r="20" spans="1:9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</row>
    <row r="21" spans="1:9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</row>
    <row r="22" spans="1:9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</row>
    <row r="23" spans="1:9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</row>
    <row r="24" spans="1:9">
      <c r="H24" s="106"/>
      <c r="I24" s="106"/>
    </row>
    <row r="25" spans="1:9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</row>
    <row r="26" spans="1:9">
      <c r="D26" s="105" t="s">
        <v>457</v>
      </c>
    </row>
    <row r="27" spans="1:9">
      <c r="A27" s="105" t="s">
        <v>597</v>
      </c>
      <c r="E27" s="104" t="s">
        <v>596</v>
      </c>
    </row>
    <row r="28" spans="1:9">
      <c r="A28" s="105" t="s">
        <v>604</v>
      </c>
      <c r="E28" s="104" t="s">
        <v>607</v>
      </c>
    </row>
    <row r="29" spans="1:9">
      <c r="E29" s="104"/>
    </row>
    <row r="30" spans="1:9">
      <c r="E30" s="104"/>
    </row>
    <row r="32" spans="1:9">
      <c r="B32" s="132"/>
      <c r="H32" s="219" t="s">
        <v>461</v>
      </c>
    </row>
    <row r="33" spans="1:8">
      <c r="A33" s="104"/>
      <c r="H33" s="219" t="s">
        <v>462</v>
      </c>
    </row>
    <row r="34" spans="1:8">
      <c r="A34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I31"/>
  <sheetViews>
    <sheetView workbookViewId="0"/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3.140625" style="204" customWidth="1"/>
    <col min="8" max="8" width="10.7109375" style="200" customWidth="1"/>
    <col min="9" max="16384" width="9.140625" style="105"/>
  </cols>
  <sheetData>
    <row r="2" spans="1:9" ht="23.25">
      <c r="A2" s="431" t="s">
        <v>594</v>
      </c>
      <c r="B2" s="431"/>
      <c r="C2" s="431"/>
      <c r="D2" s="431"/>
      <c r="E2" s="431"/>
      <c r="F2" s="431"/>
      <c r="G2" s="199"/>
    </row>
    <row r="4" spans="1:9" ht="31.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G4" s="211" t="s">
        <v>569</v>
      </c>
      <c r="H4" s="212" t="s">
        <v>573</v>
      </c>
    </row>
    <row r="5" spans="1:9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G5" s="201">
        <f>F5/C5-1</f>
        <v>0.12956100079281674</v>
      </c>
      <c r="H5" s="201">
        <f>F5/E5-1</f>
        <v>7.0411814615191748E-2</v>
      </c>
    </row>
    <row r="6" spans="1:9">
      <c r="A6" s="105" t="s">
        <v>267</v>
      </c>
      <c r="B6" s="105" t="s">
        <v>268</v>
      </c>
      <c r="C6" s="106">
        <f>Rozpis_Příjmy!BO111</f>
        <v>514500</v>
      </c>
      <c r="D6" s="106">
        <f>Rozpis_Příjmy!CN111</f>
        <v>593640</v>
      </c>
      <c r="E6" s="106">
        <f>Rozpis_Příjmy!CP111</f>
        <v>435708.33</v>
      </c>
      <c r="F6" s="106">
        <f>Rozpis_Příjmy!CR111</f>
        <v>514800</v>
      </c>
      <c r="G6" s="201">
        <f t="shared" ref="G6:G9" si="0">F6/C6-1</f>
        <v>5.8309037900872163E-4</v>
      </c>
      <c r="H6" s="201">
        <f t="shared" ref="H6:H14" si="1">F6/E6-1</f>
        <v>0.18152434680328455</v>
      </c>
    </row>
    <row r="7" spans="1:9">
      <c r="A7" s="105" t="s">
        <v>269</v>
      </c>
      <c r="B7" s="105" t="s">
        <v>270</v>
      </c>
      <c r="C7" s="106">
        <f>Rozpis_Příjmy!BO89</f>
        <v>40000</v>
      </c>
      <c r="D7" s="106">
        <f>Rozpis_Příjmy!CN89</f>
        <v>70000</v>
      </c>
      <c r="E7" s="106">
        <f>Rozpis_Příjmy!CP89</f>
        <v>59144</v>
      </c>
      <c r="F7" s="106">
        <f>Rozpis_Příjmy!CR89</f>
        <v>30000</v>
      </c>
      <c r="G7" s="201">
        <f t="shared" si="0"/>
        <v>-0.25</v>
      </c>
      <c r="H7" s="201">
        <f t="shared" si="1"/>
        <v>-0.49276342486135538</v>
      </c>
    </row>
    <row r="8" spans="1:9">
      <c r="A8" s="105" t="s">
        <v>271</v>
      </c>
      <c r="B8" s="105" t="s">
        <v>272</v>
      </c>
      <c r="C8" s="106">
        <f>Rozpis_Příjmy!BO33</f>
        <v>1228300</v>
      </c>
      <c r="D8" s="106">
        <f>Rozpis_Příjmy!CN33</f>
        <v>1377347.88</v>
      </c>
      <c r="E8" s="106">
        <f>Rozpis_Příjmy!CP33</f>
        <v>1377347.92</v>
      </c>
      <c r="F8" s="106">
        <f>Rozpis_Příjmy!CR33</f>
        <v>365188.89</v>
      </c>
      <c r="G8" s="201">
        <f t="shared" si="0"/>
        <v>-0.7026875437596678</v>
      </c>
      <c r="H8" s="201">
        <f t="shared" si="1"/>
        <v>-0.73486082586889157</v>
      </c>
    </row>
    <row r="9" spans="1:9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G9" s="202">
        <f t="shared" si="0"/>
        <v>-2.3605232775966156E-2</v>
      </c>
      <c r="H9" s="203">
        <f t="shared" si="1"/>
        <v>-7.362363556522733E-2</v>
      </c>
    </row>
    <row r="10" spans="1:9">
      <c r="H10" s="201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209"/>
      <c r="H11" s="210"/>
    </row>
    <row r="12" spans="1:9">
      <c r="A12" s="105" t="s">
        <v>274</v>
      </c>
      <c r="B12" s="105" t="s">
        <v>275</v>
      </c>
      <c r="C12" s="106">
        <f>Rozpis_Výdaje!BM332</f>
        <v>7195600</v>
      </c>
      <c r="D12" s="106">
        <f>Rozpis_Výdaje!CY332</f>
        <v>7479854.8899999997</v>
      </c>
      <c r="E12" s="106">
        <f>Rozpis_Výdaje!DA332</f>
        <v>7594747.4400000004</v>
      </c>
      <c r="F12" s="106">
        <f>Rozpis_Výdaje!DC332</f>
        <v>6251689.0999999996</v>
      </c>
      <c r="G12" s="201">
        <f t="shared" ref="G12:G14" si="2">F12/C12-1</f>
        <v>-0.13117890099505258</v>
      </c>
      <c r="H12" s="201">
        <f t="shared" si="1"/>
        <v>-0.17684042170071168</v>
      </c>
    </row>
    <row r="13" spans="1:9">
      <c r="A13" s="105" t="s">
        <v>276</v>
      </c>
      <c r="B13" s="105" t="s">
        <v>277</v>
      </c>
      <c r="C13" s="106">
        <f>Rozpis_Výdaje!BM335</f>
        <v>2057900</v>
      </c>
      <c r="D13" s="106">
        <f>Rozpis_Výdaje!CY335</f>
        <v>2482600</v>
      </c>
      <c r="E13" s="106">
        <f>Rozpis_Výdaje!DA335</f>
        <v>2481231</v>
      </c>
      <c r="F13" s="106">
        <f>Rozpis_Výdaje!DC335</f>
        <v>539700</v>
      </c>
      <c r="G13" s="201">
        <f t="shared" si="2"/>
        <v>-0.73774235871519511</v>
      </c>
      <c r="H13" s="201">
        <f t="shared" si="1"/>
        <v>-0.78248699939667044</v>
      </c>
      <c r="I13" s="105" t="s">
        <v>457</v>
      </c>
    </row>
    <row r="14" spans="1:9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G14" s="202">
        <f t="shared" si="2"/>
        <v>-0.26607347490138866</v>
      </c>
      <c r="H14" s="203">
        <f t="shared" si="1"/>
        <v>-0.32598217230802262</v>
      </c>
    </row>
    <row r="16" spans="1:9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G16" s="205"/>
    </row>
    <row r="17" spans="1:8">
      <c r="G17" s="205"/>
    </row>
    <row r="18" spans="1:8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205"/>
    </row>
    <row r="19" spans="1:8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G19" s="205"/>
    </row>
    <row r="20" spans="1:8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G20" s="205"/>
    </row>
    <row r="21" spans="1:8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G21" s="205"/>
    </row>
    <row r="22" spans="1:8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G22" s="205"/>
    </row>
    <row r="23" spans="1:8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3">SUM(D19:D22)</f>
        <v>2161967</v>
      </c>
      <c r="E23" s="116">
        <f t="shared" si="3"/>
        <v>2480374</v>
      </c>
      <c r="F23" s="116">
        <f>F19+F21+F22+F20</f>
        <v>-245000</v>
      </c>
      <c r="G23" s="205"/>
      <c r="H23" s="208"/>
    </row>
    <row r="25" spans="1:8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</row>
    <row r="26" spans="1:8">
      <c r="D26" s="105" t="s">
        <v>457</v>
      </c>
    </row>
    <row r="27" spans="1:8">
      <c r="A27" s="105" t="s">
        <v>597</v>
      </c>
    </row>
    <row r="29" spans="1:8">
      <c r="A29" s="104" t="s">
        <v>596</v>
      </c>
      <c r="B29" s="132"/>
      <c r="E29" s="219" t="s">
        <v>461</v>
      </c>
    </row>
    <row r="30" spans="1:8">
      <c r="A30" s="104"/>
      <c r="E30" s="219" t="s">
        <v>462</v>
      </c>
    </row>
    <row r="31" spans="1:8">
      <c r="A31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9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4"/>
  <sheetViews>
    <sheetView workbookViewId="0"/>
  </sheetViews>
  <sheetFormatPr defaultRowHeight="15"/>
  <cols>
    <col min="2" max="2" width="23.42578125" bestFit="1" customWidth="1"/>
    <col min="3" max="3" width="16.42578125" customWidth="1"/>
    <col min="4" max="4" width="18.28515625" customWidth="1"/>
    <col min="5" max="5" width="16.28515625" customWidth="1"/>
    <col min="6" max="6" width="17.85546875" customWidth="1"/>
  </cols>
  <sheetData>
    <row r="1" spans="1:7" ht="23.25">
      <c r="A1" s="335" t="s">
        <v>383</v>
      </c>
      <c r="B1" s="336"/>
      <c r="C1" s="336"/>
      <c r="D1" s="336"/>
      <c r="E1" s="335"/>
      <c r="F1" s="335"/>
      <c r="G1" s="334"/>
    </row>
    <row r="2" spans="1:7" ht="23.25">
      <c r="A2" s="431" t="s">
        <v>566</v>
      </c>
      <c r="B2" s="431"/>
      <c r="C2" s="431"/>
      <c r="D2" s="431"/>
      <c r="E2" s="431"/>
      <c r="F2" s="431"/>
    </row>
    <row r="3" spans="1:7" ht="15.75" thickBot="1"/>
    <row r="4" spans="1:7" ht="15.75">
      <c r="A4" s="435"/>
      <c r="B4" s="437" t="s">
        <v>260</v>
      </c>
      <c r="C4" s="364" t="s">
        <v>590</v>
      </c>
      <c r="D4" s="364" t="s">
        <v>591</v>
      </c>
      <c r="E4" s="433" t="s">
        <v>384</v>
      </c>
      <c r="F4" s="434"/>
    </row>
    <row r="5" spans="1:7" ht="16.5" thickBot="1">
      <c r="A5" s="436"/>
      <c r="B5" s="438"/>
      <c r="C5" s="365">
        <v>2022</v>
      </c>
      <c r="D5" s="365">
        <v>2023</v>
      </c>
      <c r="E5" s="216">
        <v>2024</v>
      </c>
      <c r="F5" s="88">
        <v>2025</v>
      </c>
    </row>
    <row r="6" spans="1:7">
      <c r="A6" s="89" t="s">
        <v>364</v>
      </c>
      <c r="B6" s="356" t="s">
        <v>365</v>
      </c>
      <c r="C6" s="352">
        <f>ROZPOČET23návrh!E5</f>
        <v>5723404.6900000004</v>
      </c>
      <c r="D6" s="352">
        <f>ROZPOČET23návrh!F5</f>
        <v>6126400</v>
      </c>
      <c r="E6" s="91">
        <v>6300000</v>
      </c>
      <c r="F6" s="92">
        <v>6600000</v>
      </c>
    </row>
    <row r="7" spans="1:7">
      <c r="A7" s="93" t="s">
        <v>366</v>
      </c>
      <c r="B7" s="357" t="s">
        <v>367</v>
      </c>
      <c r="C7" s="352">
        <f>ROZPOČET23návrh!E6</f>
        <v>435708.33</v>
      </c>
      <c r="D7" s="352">
        <f>ROZPOČET23návrh!F6</f>
        <v>514800</v>
      </c>
      <c r="E7" s="95">
        <v>500000</v>
      </c>
      <c r="F7" s="217">
        <v>500000</v>
      </c>
    </row>
    <row r="8" spans="1:7">
      <c r="A8" s="93" t="s">
        <v>368</v>
      </c>
      <c r="B8" s="357" t="s">
        <v>369</v>
      </c>
      <c r="C8" s="352">
        <f>ROZPOČET23návrh!E7</f>
        <v>59144</v>
      </c>
      <c r="D8" s="352">
        <f>ROZPOČET23návrh!F7</f>
        <v>30000</v>
      </c>
      <c r="E8" s="95">
        <v>50000</v>
      </c>
      <c r="F8" s="217">
        <v>50000</v>
      </c>
    </row>
    <row r="9" spans="1:7" ht="15.75" thickBot="1">
      <c r="A9" s="96" t="s">
        <v>370</v>
      </c>
      <c r="B9" s="358" t="s">
        <v>371</v>
      </c>
      <c r="C9" s="352">
        <f>ROZPOČET23návrh!E8</f>
        <v>1377347.92</v>
      </c>
      <c r="D9" s="352">
        <f>ROZPOČET23návrh!F8</f>
        <v>365188.89</v>
      </c>
      <c r="E9" s="98">
        <v>88000</v>
      </c>
      <c r="F9" s="99">
        <v>90000</v>
      </c>
    </row>
    <row r="10" spans="1:7" ht="17.25" thickTop="1" thickBot="1">
      <c r="A10" s="100"/>
      <c r="B10" s="359" t="s">
        <v>372</v>
      </c>
      <c r="C10" s="353">
        <f>SUM(C6:C9)</f>
        <v>7595604.9400000004</v>
      </c>
      <c r="D10" s="102">
        <f>SUM(D6:D9)</f>
        <v>7036388.8899999997</v>
      </c>
      <c r="E10" s="101">
        <f>SUM(E6:E9)</f>
        <v>6938000</v>
      </c>
      <c r="F10" s="102">
        <f>SUM(F6:F9)</f>
        <v>7240000</v>
      </c>
    </row>
    <row r="11" spans="1:7" ht="15.75" thickTop="1">
      <c r="A11" s="89" t="s">
        <v>373</v>
      </c>
      <c r="B11" s="356" t="s">
        <v>374</v>
      </c>
      <c r="C11" s="352">
        <f>ROZPOČET23návrh!E12</f>
        <v>7594747.4400000004</v>
      </c>
      <c r="D11" s="352">
        <f>ROZPOČET23návrh!F12</f>
        <v>6251689.0999999996</v>
      </c>
      <c r="E11" s="91">
        <f>5758000+435000</f>
        <v>6193000</v>
      </c>
      <c r="F11" s="92">
        <f>267000+5758000</f>
        <v>6025000</v>
      </c>
    </row>
    <row r="12" spans="1:7" ht="15.75" thickBot="1">
      <c r="A12" s="96" t="s">
        <v>375</v>
      </c>
      <c r="B12" s="358" t="s">
        <v>376</v>
      </c>
      <c r="C12" s="352">
        <f>ROZPOČET23návrh!E13</f>
        <v>2481231</v>
      </c>
      <c r="D12" s="352">
        <f>ROZPOČET23návrh!F13</f>
        <v>539700</v>
      </c>
      <c r="E12" s="98">
        <v>500000</v>
      </c>
      <c r="F12" s="99">
        <v>970000</v>
      </c>
    </row>
    <row r="13" spans="1:7" ht="17.25" thickTop="1" thickBot="1">
      <c r="A13" s="100"/>
      <c r="B13" s="359" t="s">
        <v>377</v>
      </c>
      <c r="C13" s="353">
        <f>SUM(C11:C12)</f>
        <v>10075978.440000001</v>
      </c>
      <c r="D13" s="102">
        <f>SUM(D11:D12)</f>
        <v>6791389.0999999996</v>
      </c>
      <c r="E13" s="101">
        <f>SUM(E11:E12)</f>
        <v>6693000</v>
      </c>
      <c r="F13" s="102">
        <f>SUM(F11:F12)</f>
        <v>6995000</v>
      </c>
    </row>
    <row r="14" spans="1:7" ht="15.75" thickTop="1">
      <c r="A14" s="89" t="s">
        <v>378</v>
      </c>
      <c r="B14" s="356" t="s">
        <v>379</v>
      </c>
      <c r="C14" s="352">
        <f>ROZPOČET23návrh!E19+ROZPOČET23návrh!E21</f>
        <v>2600746</v>
      </c>
      <c r="D14" s="351"/>
      <c r="E14" s="215">
        <v>0</v>
      </c>
      <c r="F14" s="218">
        <v>0</v>
      </c>
    </row>
    <row r="15" spans="1:7" ht="15.75" thickBot="1">
      <c r="A15" s="96" t="s">
        <v>378</v>
      </c>
      <c r="B15" s="358" t="s">
        <v>386</v>
      </c>
      <c r="C15" s="361">
        <f>ROZPOČET23návrh!E22</f>
        <v>-120372</v>
      </c>
      <c r="D15" s="361">
        <f>ROZPOČET23návrh!F22</f>
        <v>-245000</v>
      </c>
      <c r="E15" s="91">
        <v>-245000</v>
      </c>
      <c r="F15" s="92">
        <v>-245000</v>
      </c>
      <c r="G15" t="s">
        <v>567</v>
      </c>
    </row>
    <row r="16" spans="1:7" ht="17.25" thickTop="1" thickBot="1">
      <c r="A16" s="100"/>
      <c r="B16" s="359" t="s">
        <v>380</v>
      </c>
      <c r="C16" s="354">
        <f>SUM(C15:C15)</f>
        <v>-120372</v>
      </c>
      <c r="D16" s="102">
        <f>SUM(D15:D15)</f>
        <v>-245000</v>
      </c>
      <c r="E16" s="102">
        <f>SUM(E15:E15)</f>
        <v>-245000</v>
      </c>
      <c r="F16" s="102">
        <f>SUM(F15:F15)</f>
        <v>-245000</v>
      </c>
    </row>
    <row r="17" spans="1:6" ht="17.25" thickTop="1" thickBot="1">
      <c r="A17" s="103"/>
      <c r="B17" s="360" t="s">
        <v>381</v>
      </c>
      <c r="C17" s="355">
        <f>C10+C16-C13+C14</f>
        <v>0.49999999906867743</v>
      </c>
      <c r="D17" s="355">
        <f t="shared" ref="D17:F17" si="0">D10+D16-D13+D14</f>
        <v>-0.2099999999627471</v>
      </c>
      <c r="E17" s="355">
        <f>E10+E16-E13+E14</f>
        <v>0</v>
      </c>
      <c r="F17" s="355">
        <f t="shared" si="0"/>
        <v>0</v>
      </c>
    </row>
    <row r="19" spans="1:6">
      <c r="A19" s="104"/>
    </row>
    <row r="20" spans="1:6">
      <c r="A20" s="104"/>
    </row>
    <row r="21" spans="1:6">
      <c r="A21" s="104"/>
    </row>
    <row r="22" spans="1:6" ht="15.75">
      <c r="A22" s="104" t="s">
        <v>593</v>
      </c>
      <c r="E22" s="131"/>
      <c r="F22" s="219" t="s">
        <v>461</v>
      </c>
    </row>
    <row r="23" spans="1:6" ht="15.75">
      <c r="A23" s="104"/>
      <c r="F23" s="219" t="s">
        <v>462</v>
      </c>
    </row>
    <row r="24" spans="1:6">
      <c r="A24" s="104" t="s">
        <v>382</v>
      </c>
    </row>
  </sheetData>
  <mergeCells count="4">
    <mergeCell ref="E4:F4"/>
    <mergeCell ref="A2:F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49440-6A26-4229-B6DC-7931A6A92F19}">
  <sheetPr>
    <tabColor theme="9" tint="-0.249977111117893"/>
  </sheetPr>
  <dimension ref="A1:G27"/>
  <sheetViews>
    <sheetView workbookViewId="0">
      <selection activeCell="H10" sqref="H10"/>
    </sheetView>
  </sheetViews>
  <sheetFormatPr defaultRowHeight="15"/>
  <cols>
    <col min="2" max="2" width="23.42578125" bestFit="1" customWidth="1"/>
    <col min="3" max="3" width="16.42578125" customWidth="1"/>
    <col min="4" max="4" width="18.28515625" customWidth="1"/>
    <col min="5" max="5" width="16.28515625" customWidth="1"/>
    <col min="6" max="6" width="17.85546875" customWidth="1"/>
    <col min="14" max="15" width="11.42578125" bestFit="1" customWidth="1"/>
  </cols>
  <sheetData>
    <row r="1" spans="1:7" ht="23.25" customHeight="1">
      <c r="A1" s="441" t="s">
        <v>383</v>
      </c>
      <c r="B1" s="441"/>
      <c r="C1" s="441"/>
      <c r="D1" s="441"/>
      <c r="E1" s="441"/>
      <c r="F1" s="441"/>
      <c r="G1" s="334"/>
    </row>
    <row r="2" spans="1:7" ht="16.5">
      <c r="A2" s="442" t="s">
        <v>686</v>
      </c>
      <c r="B2" s="442"/>
      <c r="C2" s="442"/>
      <c r="D2" s="442"/>
      <c r="E2" s="442"/>
      <c r="F2" s="442"/>
    </row>
    <row r="3" spans="1:7" ht="15.75" thickBot="1"/>
    <row r="4" spans="1:7" ht="15.75">
      <c r="A4" s="435"/>
      <c r="B4" s="437" t="s">
        <v>260</v>
      </c>
      <c r="C4" s="404" t="s">
        <v>590</v>
      </c>
      <c r="D4" s="405" t="s">
        <v>598</v>
      </c>
      <c r="E4" s="433" t="s">
        <v>384</v>
      </c>
      <c r="F4" s="434"/>
    </row>
    <row r="5" spans="1:7" ht="16.5" thickBot="1">
      <c r="A5" s="436"/>
      <c r="B5" s="438"/>
      <c r="C5" s="216">
        <v>2024</v>
      </c>
      <c r="D5" s="365">
        <v>2025</v>
      </c>
      <c r="E5" s="216">
        <v>2026</v>
      </c>
      <c r="F5" s="88">
        <v>2027</v>
      </c>
    </row>
    <row r="6" spans="1:7">
      <c r="A6" s="89" t="s">
        <v>364</v>
      </c>
      <c r="B6" s="356" t="s">
        <v>365</v>
      </c>
      <c r="C6" s="375">
        <f>RO_25!E5</f>
        <v>6594028.2300000004</v>
      </c>
      <c r="D6" s="352">
        <f>RO_25!F5</f>
        <v>6645800</v>
      </c>
      <c r="E6" s="92">
        <v>7100000</v>
      </c>
      <c r="F6" s="92">
        <v>7400000</v>
      </c>
    </row>
    <row r="7" spans="1:7">
      <c r="A7" s="93" t="s">
        <v>366</v>
      </c>
      <c r="B7" s="357" t="s">
        <v>367</v>
      </c>
      <c r="C7" s="91">
        <f>RO_25!E6</f>
        <v>792358.71</v>
      </c>
      <c r="D7" s="352">
        <f>RO_25!F6</f>
        <v>710800</v>
      </c>
      <c r="E7" s="217">
        <v>500000</v>
      </c>
      <c r="F7" s="217">
        <v>500000</v>
      </c>
    </row>
    <row r="8" spans="1:7">
      <c r="A8" s="93" t="s">
        <v>368</v>
      </c>
      <c r="B8" s="357" t="s">
        <v>369</v>
      </c>
      <c r="C8" s="91">
        <f>RO_25!E7</f>
        <v>592</v>
      </c>
      <c r="D8" s="352">
        <f>RO_25!F7</f>
        <v>100000</v>
      </c>
      <c r="E8" s="217">
        <v>50000</v>
      </c>
      <c r="F8" s="217">
        <v>50000</v>
      </c>
    </row>
    <row r="9" spans="1:7" ht="15.75" thickBot="1">
      <c r="A9" s="96" t="s">
        <v>370</v>
      </c>
      <c r="B9" s="358" t="s">
        <v>371</v>
      </c>
      <c r="C9" s="91">
        <f>RO_25!E8</f>
        <v>318671</v>
      </c>
      <c r="D9" s="352">
        <f>RO_25!F8</f>
        <v>80300</v>
      </c>
      <c r="E9" s="99">
        <v>80000</v>
      </c>
      <c r="F9" s="99">
        <v>80000</v>
      </c>
    </row>
    <row r="10" spans="1:7" ht="17.25" thickTop="1" thickBot="1">
      <c r="A10" s="100"/>
      <c r="B10" s="359" t="s">
        <v>372</v>
      </c>
      <c r="C10" s="101">
        <f>SUM(C6:C9)</f>
        <v>7705649.9400000004</v>
      </c>
      <c r="D10" s="354">
        <f>SUM(D6:D9)</f>
        <v>7536900</v>
      </c>
      <c r="E10" s="101">
        <f>SUM(E6:E9)</f>
        <v>7730000</v>
      </c>
      <c r="F10" s="102">
        <f>SUM(F6:F9)</f>
        <v>8030000</v>
      </c>
    </row>
    <row r="11" spans="1:7" ht="15.75" thickTop="1">
      <c r="A11" s="89" t="s">
        <v>373</v>
      </c>
      <c r="B11" s="356" t="s">
        <v>374</v>
      </c>
      <c r="C11" s="91">
        <f>RO_25!E12</f>
        <v>5823835.5100000016</v>
      </c>
      <c r="D11" s="352">
        <f>RO_25!F12</f>
        <v>5989469.4000000004</v>
      </c>
      <c r="E11" s="91">
        <v>8400000</v>
      </c>
      <c r="F11" s="92">
        <v>6489000</v>
      </c>
    </row>
    <row r="12" spans="1:7" ht="15.75" thickBot="1">
      <c r="A12" s="96" t="s">
        <v>375</v>
      </c>
      <c r="B12" s="358" t="s">
        <v>376</v>
      </c>
      <c r="C12" s="91">
        <f>RO_25!E13</f>
        <v>2403137.06</v>
      </c>
      <c r="D12" s="352">
        <f>RO_25!F13</f>
        <v>813300</v>
      </c>
      <c r="E12" s="98">
        <v>19089000</v>
      </c>
      <c r="F12" s="99">
        <v>300000</v>
      </c>
    </row>
    <row r="13" spans="1:7" ht="17.25" thickTop="1" thickBot="1">
      <c r="A13" s="100"/>
      <c r="B13" s="359" t="s">
        <v>377</v>
      </c>
      <c r="C13" s="101">
        <f>SUM(C11:C12)</f>
        <v>8226972.5700000022</v>
      </c>
      <c r="D13" s="354">
        <f>SUM(D11:D12)</f>
        <v>6802769.4000000004</v>
      </c>
      <c r="E13" s="101">
        <f>SUM(E11:E12)</f>
        <v>27489000</v>
      </c>
      <c r="F13" s="102">
        <f>SUM(F11:F12)</f>
        <v>6789000</v>
      </c>
    </row>
    <row r="14" spans="1:7" ht="15.75" thickTop="1">
      <c r="A14" s="89" t="s">
        <v>378</v>
      </c>
      <c r="B14" s="356" t="s">
        <v>379</v>
      </c>
      <c r="C14" s="462">
        <f>RO_25!E21+RO_25!E25+RO_25!E22</f>
        <v>762067</v>
      </c>
      <c r="D14" s="352">
        <f>RO_25!F21+RO_25!F25+RO_25!F22</f>
        <v>-493131</v>
      </c>
      <c r="E14" s="215">
        <v>20000000</v>
      </c>
      <c r="F14" s="218">
        <v>0</v>
      </c>
    </row>
    <row r="15" spans="1:7" ht="15.75" thickBot="1">
      <c r="A15" s="96" t="s">
        <v>378</v>
      </c>
      <c r="B15" s="358" t="s">
        <v>386</v>
      </c>
      <c r="C15" s="376">
        <f>RO_25!E26</f>
        <v>-240744</v>
      </c>
      <c r="D15" s="361">
        <f>RO_25!F26</f>
        <v>-241000</v>
      </c>
      <c r="E15" s="91">
        <v>-241000</v>
      </c>
      <c r="F15" s="92">
        <v>-1241000</v>
      </c>
    </row>
    <row r="16" spans="1:7" ht="17.25" thickTop="1" thickBot="1">
      <c r="A16" s="100"/>
      <c r="B16" s="359" t="s">
        <v>380</v>
      </c>
      <c r="C16" s="354">
        <f>SUM(C15:C15)</f>
        <v>-240744</v>
      </c>
      <c r="D16" s="102">
        <f>SUM(D15:D15)</f>
        <v>-241000</v>
      </c>
      <c r="E16" s="102">
        <f>SUM(E15:E15)</f>
        <v>-241000</v>
      </c>
      <c r="F16" s="102">
        <f>SUM(F15:F15)</f>
        <v>-1241000</v>
      </c>
    </row>
    <row r="17" spans="1:6" ht="17.25" thickTop="1" thickBot="1">
      <c r="A17" s="103"/>
      <c r="B17" s="360" t="s">
        <v>381</v>
      </c>
      <c r="C17" s="355">
        <f>C10+C16-C13+C14</f>
        <v>0.36999999824911356</v>
      </c>
      <c r="D17" s="355">
        <f>D10+D16-D13+D14</f>
        <v>-0.40000000037252903</v>
      </c>
      <c r="E17" s="355">
        <f>E10+E16-E13+E14</f>
        <v>0</v>
      </c>
      <c r="F17" s="355">
        <f t="shared" ref="F17" si="0">F10+F16-F13+F14</f>
        <v>0</v>
      </c>
    </row>
    <row r="18" spans="1:6" ht="15.75">
      <c r="A18" s="421"/>
      <c r="B18" s="422"/>
      <c r="C18" s="423"/>
      <c r="D18" s="423"/>
      <c r="E18" s="423"/>
      <c r="F18" s="423"/>
    </row>
    <row r="19" spans="1:6">
      <c r="A19" t="s">
        <v>687</v>
      </c>
    </row>
    <row r="20" spans="1:6">
      <c r="A20" t="s">
        <v>688</v>
      </c>
    </row>
    <row r="21" spans="1:6">
      <c r="A21" t="s">
        <v>700</v>
      </c>
    </row>
    <row r="22" spans="1:6">
      <c r="E22" t="s">
        <v>699</v>
      </c>
    </row>
    <row r="23" spans="1:6">
      <c r="A23" s="104"/>
    </row>
    <row r="24" spans="1:6">
      <c r="A24" s="104" t="s">
        <v>702</v>
      </c>
    </row>
    <row r="25" spans="1:6" ht="28.5" customHeight="1">
      <c r="A25" s="104"/>
    </row>
    <row r="26" spans="1:6" ht="15.75">
      <c r="A26" s="104" t="s">
        <v>382</v>
      </c>
      <c r="E26" s="105" t="s">
        <v>461</v>
      </c>
    </row>
    <row r="27" spans="1:6" ht="15.75">
      <c r="E27" s="219" t="s">
        <v>462</v>
      </c>
    </row>
  </sheetData>
  <mergeCells count="5">
    <mergeCell ref="A1:F1"/>
    <mergeCell ref="A2:F2"/>
    <mergeCell ref="A4:A5"/>
    <mergeCell ref="B4:B5"/>
    <mergeCell ref="E4:F4"/>
  </mergeCells>
  <pageMargins left="0.7" right="0.7" top="0.78740157499999996" bottom="0.78740157499999996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6C33-0F74-49AE-BCE8-2CEEBD162DC4}">
  <sheetPr>
    <tabColor theme="9" tint="-0.249977111117893"/>
  </sheetPr>
  <dimension ref="A1:G24"/>
  <sheetViews>
    <sheetView workbookViewId="0">
      <selection activeCell="D14" sqref="D14"/>
    </sheetView>
  </sheetViews>
  <sheetFormatPr defaultRowHeight="15"/>
  <cols>
    <col min="2" max="2" width="23.42578125" bestFit="1" customWidth="1"/>
    <col min="3" max="3" width="16.42578125" customWidth="1"/>
    <col min="4" max="4" width="18.28515625" customWidth="1"/>
    <col min="5" max="5" width="16.28515625" customWidth="1"/>
    <col min="6" max="6" width="17.85546875" customWidth="1"/>
    <col min="14" max="15" width="11.42578125" bestFit="1" customWidth="1"/>
  </cols>
  <sheetData>
    <row r="1" spans="1:7" ht="23.25" customHeight="1">
      <c r="A1" s="439" t="s">
        <v>465</v>
      </c>
      <c r="B1" s="439"/>
      <c r="C1" s="439"/>
      <c r="D1" s="439"/>
      <c r="E1" s="439"/>
      <c r="F1" s="439"/>
      <c r="G1" s="334"/>
    </row>
    <row r="2" spans="1:7" ht="23.25">
      <c r="A2" s="431" t="s">
        <v>638</v>
      </c>
      <c r="B2" s="431"/>
      <c r="C2" s="431"/>
      <c r="D2" s="431"/>
      <c r="E2" s="431"/>
      <c r="F2" s="431"/>
    </row>
    <row r="3" spans="1:7" ht="15.75" thickBot="1"/>
    <row r="4" spans="1:7" ht="15.75">
      <c r="A4" s="435"/>
      <c r="B4" s="437" t="s">
        <v>260</v>
      </c>
      <c r="C4" s="404" t="s">
        <v>590</v>
      </c>
      <c r="D4" s="405" t="s">
        <v>598</v>
      </c>
      <c r="E4" s="433" t="s">
        <v>384</v>
      </c>
      <c r="F4" s="434"/>
    </row>
    <row r="5" spans="1:7" ht="16.5" thickBot="1">
      <c r="A5" s="436"/>
      <c r="B5" s="438"/>
      <c r="C5" s="216">
        <v>2023</v>
      </c>
      <c r="D5" s="365">
        <v>2024</v>
      </c>
      <c r="E5" s="216">
        <v>2025</v>
      </c>
      <c r="F5" s="88">
        <v>2026</v>
      </c>
    </row>
    <row r="6" spans="1:7">
      <c r="A6" s="89" t="s">
        <v>364</v>
      </c>
      <c r="B6" s="356" t="s">
        <v>365</v>
      </c>
      <c r="C6" s="375">
        <f>RO_24návrh!E5</f>
        <v>6279896.7999999998</v>
      </c>
      <c r="D6" s="352">
        <f>RO_24návrh!F5</f>
        <v>6763000</v>
      </c>
      <c r="E6" s="91">
        <v>6950000</v>
      </c>
      <c r="F6" s="92">
        <v>7100000</v>
      </c>
    </row>
    <row r="7" spans="1:7">
      <c r="A7" s="93" t="s">
        <v>366</v>
      </c>
      <c r="B7" s="357" t="s">
        <v>367</v>
      </c>
      <c r="C7" s="91">
        <f>RO_24návrh!E6</f>
        <v>801065.93</v>
      </c>
      <c r="D7" s="352">
        <f>RO_24návrh!F6</f>
        <v>430400</v>
      </c>
      <c r="E7" s="95">
        <v>500000</v>
      </c>
      <c r="F7" s="217">
        <v>500000</v>
      </c>
    </row>
    <row r="8" spans="1:7">
      <c r="A8" s="93" t="s">
        <v>368</v>
      </c>
      <c r="B8" s="357" t="s">
        <v>369</v>
      </c>
      <c r="C8" s="91">
        <f>RO_24návrh!E7</f>
        <v>205926</v>
      </c>
      <c r="D8" s="352">
        <f>RO_24návrh!F7</f>
        <v>40000</v>
      </c>
      <c r="E8" s="95">
        <v>50000</v>
      </c>
      <c r="F8" s="217">
        <v>50000</v>
      </c>
    </row>
    <row r="9" spans="1:7" ht="15.75" thickBot="1">
      <c r="A9" s="96" t="s">
        <v>370</v>
      </c>
      <c r="B9" s="358" t="s">
        <v>371</v>
      </c>
      <c r="C9" s="91">
        <f>RO_24návrh!E8</f>
        <v>1624040</v>
      </c>
      <c r="D9" s="352">
        <f>RO_24návrh!F8</f>
        <v>179700</v>
      </c>
      <c r="E9" s="98">
        <v>80000</v>
      </c>
      <c r="F9" s="99">
        <v>80000</v>
      </c>
    </row>
    <row r="10" spans="1:7" ht="17.25" thickTop="1" thickBot="1">
      <c r="A10" s="100"/>
      <c r="B10" s="359" t="s">
        <v>372</v>
      </c>
      <c r="C10" s="101">
        <f>SUM(C6:C9)</f>
        <v>8910928.7300000004</v>
      </c>
      <c r="D10" s="354">
        <f>SUM(D6:D9)</f>
        <v>7413100</v>
      </c>
      <c r="E10" s="101">
        <f>SUM(E6:E9)</f>
        <v>7580000</v>
      </c>
      <c r="F10" s="102">
        <f>SUM(F6:F9)</f>
        <v>7730000</v>
      </c>
    </row>
    <row r="11" spans="1:7" ht="15.75" thickTop="1">
      <c r="A11" s="89" t="s">
        <v>373</v>
      </c>
      <c r="B11" s="356" t="s">
        <v>374</v>
      </c>
      <c r="C11" s="91">
        <f>RO_24návrh!E12</f>
        <v>6909647.4500000002</v>
      </c>
      <c r="D11" s="352">
        <f>RO_24návrh!F12</f>
        <v>5939880.0999999996</v>
      </c>
      <c r="E11" s="91">
        <v>6373000</v>
      </c>
      <c r="F11" s="92">
        <v>6497000</v>
      </c>
    </row>
    <row r="12" spans="1:7" ht="15.75" thickBot="1">
      <c r="A12" s="96" t="s">
        <v>375</v>
      </c>
      <c r="B12" s="358" t="s">
        <v>376</v>
      </c>
      <c r="C12" s="91">
        <f>RO_24návrh!E13</f>
        <v>1491803.66</v>
      </c>
      <c r="D12" s="352">
        <f>RO_24návrh!F13</f>
        <v>2258340</v>
      </c>
      <c r="E12" s="98">
        <v>970000</v>
      </c>
      <c r="F12" s="99">
        <v>1000000</v>
      </c>
    </row>
    <row r="13" spans="1:7" ht="17.25" thickTop="1" thickBot="1">
      <c r="A13" s="100"/>
      <c r="B13" s="359" t="s">
        <v>377</v>
      </c>
      <c r="C13" s="101">
        <f>SUM(C11:C12)</f>
        <v>8401451.1099999994</v>
      </c>
      <c r="D13" s="354">
        <f>SUM(D11:D12)</f>
        <v>8198220.0999999996</v>
      </c>
      <c r="E13" s="101">
        <f>SUM(E11:E12)</f>
        <v>7343000</v>
      </c>
      <c r="F13" s="102">
        <f>SUM(F11:F12)</f>
        <v>7497000</v>
      </c>
    </row>
    <row r="14" spans="1:7" ht="15.75" thickTop="1">
      <c r="A14" s="89" t="s">
        <v>378</v>
      </c>
      <c r="B14" s="356" t="s">
        <v>379</v>
      </c>
      <c r="C14" s="91">
        <v>-268734</v>
      </c>
      <c r="D14" s="352">
        <f>RO_24návrh!F19+RO_24návrh!F23</f>
        <v>1026120</v>
      </c>
      <c r="E14" s="215">
        <v>0</v>
      </c>
      <c r="F14" s="218">
        <v>0</v>
      </c>
    </row>
    <row r="15" spans="1:7" ht="15.75" thickBot="1">
      <c r="A15" s="96" t="s">
        <v>378</v>
      </c>
      <c r="B15" s="358" t="s">
        <v>386</v>
      </c>
      <c r="C15" s="376">
        <f>RO_24návrh!E24</f>
        <v>-240744</v>
      </c>
      <c r="D15" s="361">
        <f>RO_24návrh!F24</f>
        <v>-241000</v>
      </c>
      <c r="E15" s="91">
        <v>-237000</v>
      </c>
      <c r="F15" s="92">
        <v>-233000</v>
      </c>
      <c r="G15" t="s">
        <v>567</v>
      </c>
    </row>
    <row r="16" spans="1:7" ht="17.25" thickTop="1" thickBot="1">
      <c r="A16" s="100"/>
      <c r="B16" s="359" t="s">
        <v>380</v>
      </c>
      <c r="C16" s="354">
        <f>SUM(C15:C15)</f>
        <v>-240744</v>
      </c>
      <c r="D16" s="102">
        <f>SUM(D15:D15)</f>
        <v>-241000</v>
      </c>
      <c r="E16" s="102">
        <f>SUM(E15:E15)</f>
        <v>-237000</v>
      </c>
      <c r="F16" s="102">
        <f>SUM(F15:F15)</f>
        <v>-233000</v>
      </c>
    </row>
    <row r="17" spans="1:6" ht="17.25" thickTop="1" thickBot="1">
      <c r="A17" s="103"/>
      <c r="B17" s="360" t="s">
        <v>381</v>
      </c>
      <c r="C17" s="355">
        <f>C10+C16-C13+C14</f>
        <v>-0.37999999895691872</v>
      </c>
      <c r="D17" s="355">
        <f t="shared" ref="D17:F17" si="0">D10+D16-D13+D14</f>
        <v>-9.999999962747097E-2</v>
      </c>
      <c r="E17" s="355">
        <f>E10+E16-E13+E14</f>
        <v>0</v>
      </c>
      <c r="F17" s="355">
        <f t="shared" si="0"/>
        <v>0</v>
      </c>
    </row>
    <row r="18" spans="1:6">
      <c r="A18" t="s">
        <v>673</v>
      </c>
    </row>
    <row r="19" spans="1:6">
      <c r="A19" s="104"/>
    </row>
    <row r="20" spans="1:6">
      <c r="A20" s="104" t="s">
        <v>672</v>
      </c>
    </row>
    <row r="21" spans="1:6">
      <c r="A21" s="104"/>
    </row>
    <row r="22" spans="1:6" ht="15.75">
      <c r="A22" s="104" t="s">
        <v>658</v>
      </c>
      <c r="E22" s="219" t="s">
        <v>461</v>
      </c>
    </row>
    <row r="23" spans="1:6" ht="15.75">
      <c r="A23" s="104"/>
      <c r="E23" s="219" t="s">
        <v>462</v>
      </c>
    </row>
    <row r="24" spans="1:6">
      <c r="A24" s="104" t="s">
        <v>382</v>
      </c>
    </row>
  </sheetData>
  <mergeCells count="5">
    <mergeCell ref="A1:F1"/>
    <mergeCell ref="A2:F2"/>
    <mergeCell ref="A4:A5"/>
    <mergeCell ref="B4:B5"/>
    <mergeCell ref="E4:F4"/>
  </mergeCells>
  <pageMargins left="0.7" right="0.7" top="0.78740157499999996" bottom="0.78740157499999996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4DA0E-723E-4C2B-B025-120CEF55DCEF}">
  <sheetPr>
    <tabColor theme="9" tint="-0.249977111117893"/>
  </sheetPr>
  <dimension ref="A1:G24"/>
  <sheetViews>
    <sheetView workbookViewId="0">
      <selection activeCell="G20" sqref="G20"/>
    </sheetView>
  </sheetViews>
  <sheetFormatPr defaultRowHeight="15"/>
  <cols>
    <col min="2" max="2" width="23.42578125" bestFit="1" customWidth="1"/>
    <col min="3" max="3" width="16.42578125" customWidth="1"/>
    <col min="4" max="4" width="18.28515625" customWidth="1"/>
    <col min="5" max="5" width="16.28515625" customWidth="1"/>
    <col min="6" max="6" width="17.85546875" customWidth="1"/>
    <col min="14" max="15" width="11.42578125" bestFit="1" customWidth="1"/>
  </cols>
  <sheetData>
    <row r="1" spans="1:7" ht="23.25" customHeight="1">
      <c r="A1" s="439" t="s">
        <v>383</v>
      </c>
      <c r="B1" s="439"/>
      <c r="C1" s="439"/>
      <c r="D1" s="439"/>
      <c r="E1" s="439"/>
      <c r="F1" s="439"/>
      <c r="G1" s="334"/>
    </row>
    <row r="2" spans="1:7" ht="23.25">
      <c r="A2" s="431" t="s">
        <v>638</v>
      </c>
      <c r="B2" s="431"/>
      <c r="C2" s="431"/>
      <c r="D2" s="431"/>
      <c r="E2" s="431"/>
      <c r="F2" s="431"/>
    </row>
    <row r="3" spans="1:7" ht="15.75" thickBot="1"/>
    <row r="4" spans="1:7" ht="15.75">
      <c r="A4" s="435"/>
      <c r="B4" s="437" t="s">
        <v>260</v>
      </c>
      <c r="C4" s="404" t="s">
        <v>590</v>
      </c>
      <c r="D4" s="364" t="s">
        <v>591</v>
      </c>
      <c r="E4" s="433" t="s">
        <v>384</v>
      </c>
      <c r="F4" s="434"/>
    </row>
    <row r="5" spans="1:7" ht="16.5" thickBot="1">
      <c r="A5" s="436"/>
      <c r="B5" s="438"/>
      <c r="C5" s="216">
        <v>2023</v>
      </c>
      <c r="D5" s="365">
        <v>2024</v>
      </c>
      <c r="E5" s="216">
        <v>2025</v>
      </c>
      <c r="F5" s="88">
        <v>2026</v>
      </c>
    </row>
    <row r="6" spans="1:7">
      <c r="A6" s="89" t="s">
        <v>364</v>
      </c>
      <c r="B6" s="356" t="s">
        <v>365</v>
      </c>
      <c r="C6" s="375">
        <f>RO_24návrh!E5</f>
        <v>6279896.7999999998</v>
      </c>
      <c r="D6" s="352">
        <f>RO_24návrh!F5</f>
        <v>6763000</v>
      </c>
      <c r="E6" s="91">
        <v>6950000</v>
      </c>
      <c r="F6" s="92">
        <v>7100000</v>
      </c>
    </row>
    <row r="7" spans="1:7">
      <c r="A7" s="93" t="s">
        <v>366</v>
      </c>
      <c r="B7" s="357" t="s">
        <v>367</v>
      </c>
      <c r="C7" s="91">
        <f>RO_24návrh!E6</f>
        <v>801065.93</v>
      </c>
      <c r="D7" s="352">
        <f>RO_24návrh!F6</f>
        <v>430400</v>
      </c>
      <c r="E7" s="95">
        <v>500000</v>
      </c>
      <c r="F7" s="217">
        <v>500000</v>
      </c>
    </row>
    <row r="8" spans="1:7">
      <c r="A8" s="93" t="s">
        <v>368</v>
      </c>
      <c r="B8" s="357" t="s">
        <v>369</v>
      </c>
      <c r="C8" s="91">
        <f>RO_24návrh!E7</f>
        <v>205926</v>
      </c>
      <c r="D8" s="352">
        <f>RO_24návrh!F7</f>
        <v>40000</v>
      </c>
      <c r="E8" s="95">
        <v>50000</v>
      </c>
      <c r="F8" s="217">
        <v>50000</v>
      </c>
    </row>
    <row r="9" spans="1:7" ht="15.75" thickBot="1">
      <c r="A9" s="96" t="s">
        <v>370</v>
      </c>
      <c r="B9" s="358" t="s">
        <v>371</v>
      </c>
      <c r="C9" s="91">
        <f>RO_24návrh!E8</f>
        <v>1624040</v>
      </c>
      <c r="D9" s="352">
        <f>RO_24návrh!F8</f>
        <v>179700</v>
      </c>
      <c r="E9" s="98">
        <v>80000</v>
      </c>
      <c r="F9" s="99">
        <v>80000</v>
      </c>
    </row>
    <row r="10" spans="1:7" ht="17.25" thickTop="1" thickBot="1">
      <c r="A10" s="100"/>
      <c r="B10" s="359" t="s">
        <v>372</v>
      </c>
      <c r="C10" s="101">
        <f>SUM(C6:C9)</f>
        <v>8910928.7300000004</v>
      </c>
      <c r="D10" s="354">
        <f>SUM(D6:D9)</f>
        <v>7413100</v>
      </c>
      <c r="E10" s="101">
        <f>SUM(E6:E9)</f>
        <v>7580000</v>
      </c>
      <c r="F10" s="102">
        <f>SUM(F6:F9)</f>
        <v>7730000</v>
      </c>
    </row>
    <row r="11" spans="1:7" ht="15.75" thickTop="1">
      <c r="A11" s="89" t="s">
        <v>373</v>
      </c>
      <c r="B11" s="356" t="s">
        <v>374</v>
      </c>
      <c r="C11" s="91">
        <f>RO_24návrh!E12</f>
        <v>6909647.4500000002</v>
      </c>
      <c r="D11" s="352">
        <f>RO_24návrh!F12</f>
        <v>5939880.0999999996</v>
      </c>
      <c r="E11" s="91">
        <v>6373000</v>
      </c>
      <c r="F11" s="92">
        <v>6497000</v>
      </c>
    </row>
    <row r="12" spans="1:7" ht="15.75" thickBot="1">
      <c r="A12" s="96" t="s">
        <v>375</v>
      </c>
      <c r="B12" s="358" t="s">
        <v>376</v>
      </c>
      <c r="C12" s="91">
        <f>RO_24návrh!E13</f>
        <v>1491803.66</v>
      </c>
      <c r="D12" s="352">
        <f>RO_24návrh!F13</f>
        <v>2258340</v>
      </c>
      <c r="E12" s="98">
        <v>970000</v>
      </c>
      <c r="F12" s="99">
        <v>1000000</v>
      </c>
    </row>
    <row r="13" spans="1:7" ht="17.25" thickTop="1" thickBot="1">
      <c r="A13" s="100"/>
      <c r="B13" s="359" t="s">
        <v>377</v>
      </c>
      <c r="C13" s="101">
        <f>SUM(C11:C12)</f>
        <v>8401451.1099999994</v>
      </c>
      <c r="D13" s="354">
        <f>SUM(D11:D12)</f>
        <v>8198220.0999999996</v>
      </c>
      <c r="E13" s="101">
        <f>SUM(E11:E12)</f>
        <v>7343000</v>
      </c>
      <c r="F13" s="102">
        <f>SUM(F11:F12)</f>
        <v>7497000</v>
      </c>
    </row>
    <row r="14" spans="1:7" ht="15.75" thickTop="1">
      <c r="A14" s="89" t="s">
        <v>378</v>
      </c>
      <c r="B14" s="356" t="s">
        <v>379</v>
      </c>
      <c r="C14" s="91">
        <v>-268734</v>
      </c>
      <c r="D14" s="352">
        <f>RO_24návrh!F19+RO_24návrh!F23</f>
        <v>1026120</v>
      </c>
      <c r="E14" s="215">
        <v>0</v>
      </c>
      <c r="F14" s="218">
        <v>0</v>
      </c>
    </row>
    <row r="15" spans="1:7" ht="15.75" thickBot="1">
      <c r="A15" s="96" t="s">
        <v>378</v>
      </c>
      <c r="B15" s="358" t="s">
        <v>386</v>
      </c>
      <c r="C15" s="376">
        <f>RO_24návrh!E24</f>
        <v>-240744</v>
      </c>
      <c r="D15" s="361">
        <f>RO_24návrh!F24</f>
        <v>-241000</v>
      </c>
      <c r="E15" s="91">
        <v>-237000</v>
      </c>
      <c r="F15" s="92">
        <v>-233000</v>
      </c>
      <c r="G15" t="s">
        <v>567</v>
      </c>
    </row>
    <row r="16" spans="1:7" ht="17.25" thickTop="1" thickBot="1">
      <c r="A16" s="100"/>
      <c r="B16" s="359" t="s">
        <v>380</v>
      </c>
      <c r="C16" s="354">
        <f>SUM(C15:C15)</f>
        <v>-240744</v>
      </c>
      <c r="D16" s="102">
        <f>SUM(D15:D15)</f>
        <v>-241000</v>
      </c>
      <c r="E16" s="102">
        <f>SUM(E15:E15)</f>
        <v>-237000</v>
      </c>
      <c r="F16" s="102">
        <f>SUM(F15:F15)</f>
        <v>-233000</v>
      </c>
    </row>
    <row r="17" spans="1:6" ht="17.25" thickTop="1" thickBot="1">
      <c r="A17" s="103"/>
      <c r="B17" s="360" t="s">
        <v>381</v>
      </c>
      <c r="C17" s="355">
        <f>C10+C16-C13+C14</f>
        <v>-0.37999999895691872</v>
      </c>
      <c r="D17" s="355">
        <f t="shared" ref="D17:F17" si="0">D10+D16-D13+D14</f>
        <v>-9.999999962747097E-2</v>
      </c>
      <c r="E17" s="355">
        <f>E10+E16-E13+E14</f>
        <v>0</v>
      </c>
      <c r="F17" s="355">
        <f t="shared" si="0"/>
        <v>0</v>
      </c>
    </row>
    <row r="19" spans="1:6">
      <c r="A19" s="104"/>
    </row>
    <row r="20" spans="1:6">
      <c r="A20" s="104"/>
    </row>
    <row r="21" spans="1:6">
      <c r="A21" s="104"/>
    </row>
    <row r="22" spans="1:6" ht="15.75">
      <c r="A22" s="104" t="s">
        <v>654</v>
      </c>
      <c r="E22" s="219" t="s">
        <v>461</v>
      </c>
    </row>
    <row r="23" spans="1:6" ht="15.75">
      <c r="A23" s="104"/>
      <c r="E23" s="219" t="s">
        <v>462</v>
      </c>
    </row>
    <row r="24" spans="1:6">
      <c r="A24" s="104" t="s">
        <v>382</v>
      </c>
    </row>
  </sheetData>
  <mergeCells count="5">
    <mergeCell ref="A1:F1"/>
    <mergeCell ref="A2:F2"/>
    <mergeCell ref="A4:A5"/>
    <mergeCell ref="B4:B5"/>
    <mergeCell ref="E4:F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5"/>
  <sheetViews>
    <sheetView workbookViewId="0"/>
  </sheetViews>
  <sheetFormatPr defaultColWidth="9.140625" defaultRowHeight="15"/>
  <cols>
    <col min="1" max="1" width="29.7109375" style="105" customWidth="1"/>
    <col min="2" max="2" width="8.85546875" style="105" customWidth="1"/>
    <col min="3" max="3" width="14.85546875" style="105" customWidth="1"/>
    <col min="4" max="4" width="13.7109375" style="105" customWidth="1"/>
    <col min="5" max="5" width="14.7109375" style="105" customWidth="1"/>
    <col min="6" max="6" width="15.42578125" style="106" customWidth="1"/>
    <col min="7" max="7" width="1.7109375" style="105" customWidth="1"/>
    <col min="8" max="8" width="11" style="105" customWidth="1"/>
    <col min="9" max="9" width="12" style="105" customWidth="1"/>
    <col min="10" max="10" width="1.5703125" style="105" customWidth="1"/>
    <col min="11" max="11" width="10.7109375" style="105" customWidth="1"/>
    <col min="12" max="12" width="12.140625" style="105" customWidth="1"/>
    <col min="13" max="13" width="1.28515625" style="105" customWidth="1"/>
    <col min="14" max="14" width="11" style="105" customWidth="1"/>
    <col min="15" max="15" width="11.85546875" style="105" customWidth="1"/>
    <col min="16" max="16" width="1.140625" style="105" customWidth="1"/>
    <col min="17" max="16384" width="9.140625" style="105"/>
  </cols>
  <sheetData>
    <row r="2" spans="1:15" ht="23.25">
      <c r="A2" s="431" t="s">
        <v>464</v>
      </c>
      <c r="B2" s="431"/>
      <c r="C2" s="431"/>
      <c r="D2" s="431"/>
      <c r="E2" s="431"/>
      <c r="F2" s="431"/>
    </row>
    <row r="3" spans="1:15" s="104" customFormat="1" ht="33" customHeight="1">
      <c r="F3" s="226"/>
      <c r="H3" s="432" t="s">
        <v>469</v>
      </c>
      <c r="I3" s="432"/>
      <c r="K3" s="432" t="s">
        <v>478</v>
      </c>
      <c r="L3" s="432"/>
      <c r="N3" s="432" t="s">
        <v>482</v>
      </c>
      <c r="O3" s="432"/>
    </row>
    <row r="4" spans="1:15" ht="47.25">
      <c r="A4" s="111" t="s">
        <v>263</v>
      </c>
      <c r="B4" s="111" t="s">
        <v>5</v>
      </c>
      <c r="C4" s="112" t="s">
        <v>449</v>
      </c>
      <c r="D4" s="112" t="s">
        <v>451</v>
      </c>
      <c r="E4" s="112" t="s">
        <v>450</v>
      </c>
      <c r="F4" s="112" t="s">
        <v>471</v>
      </c>
      <c r="H4" s="222" t="s">
        <v>472</v>
      </c>
      <c r="I4" s="222" t="s">
        <v>473</v>
      </c>
      <c r="K4" s="222" t="s">
        <v>472</v>
      </c>
      <c r="L4" s="222" t="s">
        <v>473</v>
      </c>
      <c r="N4" s="222" t="s">
        <v>472</v>
      </c>
      <c r="O4" s="222" t="s">
        <v>473</v>
      </c>
    </row>
    <row r="5" spans="1:15">
      <c r="A5" s="105" t="s">
        <v>265</v>
      </c>
      <c r="B5" s="105" t="s">
        <v>266</v>
      </c>
      <c r="C5" s="106">
        <f>Rozpis_Příjmy!L22</f>
        <v>4972000</v>
      </c>
      <c r="D5" s="106">
        <f>Rozpis_Příjmy!AH22</f>
        <v>4661600</v>
      </c>
      <c r="E5" s="106">
        <f>Rozpis_Příjmy!AL22</f>
        <v>4655908.6900000004</v>
      </c>
      <c r="F5" s="106">
        <f>Rozpis_Příjmy!AN22</f>
        <v>4104000</v>
      </c>
      <c r="H5" s="106">
        <f>Rozpis_Příjmy!AZ22</f>
        <v>0</v>
      </c>
      <c r="I5" s="106">
        <f>Rozpis_Příjmy!BA22</f>
        <v>4104000</v>
      </c>
      <c r="K5" s="106">
        <f>Rozpis_Příjmy!BC22</f>
        <v>0</v>
      </c>
      <c r="L5" s="106">
        <f>Rozpis_Příjmy!BD22</f>
        <v>4104000</v>
      </c>
      <c r="N5" s="106">
        <f>Rozpis_Příjmy!BF22</f>
        <v>0</v>
      </c>
      <c r="O5" s="106">
        <f>Rozpis_Příjmy!BG22</f>
        <v>4104000</v>
      </c>
    </row>
    <row r="6" spans="1:15">
      <c r="A6" s="105" t="s">
        <v>267</v>
      </c>
      <c r="B6" s="105" t="s">
        <v>268</v>
      </c>
      <c r="C6" s="106">
        <f>Rozpis_Příjmy!L111</f>
        <v>241200</v>
      </c>
      <c r="D6" s="106">
        <f>Rozpis_Příjmy!AH111</f>
        <v>240800</v>
      </c>
      <c r="E6" s="106">
        <f>Rozpis_Příjmy!AL111</f>
        <v>219140.41</v>
      </c>
      <c r="F6" s="106">
        <f>Rozpis_Příjmy!AN111</f>
        <v>203000</v>
      </c>
      <c r="H6" s="106">
        <f>Rozpis_Příjmy!AZ111</f>
        <v>0</v>
      </c>
      <c r="I6" s="106">
        <f>Rozpis_Příjmy!BA111</f>
        <v>203000</v>
      </c>
      <c r="K6" s="106">
        <f>Rozpis_Příjmy!BC111</f>
        <v>0</v>
      </c>
      <c r="L6" s="106">
        <f>Rozpis_Příjmy!BD111</f>
        <v>203000</v>
      </c>
      <c r="N6" s="106">
        <f>Rozpis_Příjmy!BF111</f>
        <v>0</v>
      </c>
      <c r="O6" s="106">
        <f>Rozpis_Příjmy!BG111</f>
        <v>203000</v>
      </c>
    </row>
    <row r="7" spans="1:15">
      <c r="A7" s="105" t="s">
        <v>269</v>
      </c>
      <c r="B7" s="105" t="s">
        <v>270</v>
      </c>
      <c r="C7" s="106">
        <f>Rozpis_Příjmy!L89</f>
        <v>1000</v>
      </c>
      <c r="D7" s="106">
        <f>Rozpis_Příjmy!AH89</f>
        <v>28590</v>
      </c>
      <c r="E7" s="106">
        <f>Rozpis_Příjmy!AL89</f>
        <v>28557</v>
      </c>
      <c r="F7" s="106">
        <f>Rozpis_Příjmy!AN89</f>
        <v>1000</v>
      </c>
      <c r="H7" s="106">
        <f>Rozpis_Příjmy!AZ89</f>
        <v>0</v>
      </c>
      <c r="I7" s="106">
        <f>Rozpis_Příjmy!BA89</f>
        <v>1000</v>
      </c>
      <c r="K7" s="106">
        <f>Rozpis_Příjmy!BC89</f>
        <v>0</v>
      </c>
      <c r="L7" s="106">
        <f>Rozpis_Příjmy!BD89</f>
        <v>1000</v>
      </c>
      <c r="N7" s="106">
        <f>Rozpis_Příjmy!BF89</f>
        <v>0</v>
      </c>
      <c r="O7" s="106">
        <f>Rozpis_Příjmy!BG89</f>
        <v>1000</v>
      </c>
    </row>
    <row r="8" spans="1:15">
      <c r="A8" s="105" t="s">
        <v>271</v>
      </c>
      <c r="B8" s="105" t="s">
        <v>272</v>
      </c>
      <c r="C8" s="106">
        <f>Rozpis_Příjmy!L33</f>
        <v>76800</v>
      </c>
      <c r="D8" s="106">
        <f>Rozpis_Příjmy!AH33</f>
        <v>1304250</v>
      </c>
      <c r="E8" s="106">
        <f>Rozpis_Příjmy!AL33</f>
        <v>1296911</v>
      </c>
      <c r="F8" s="106">
        <f>Rozpis_Příjmy!AN33</f>
        <v>84000</v>
      </c>
      <c r="H8" s="106">
        <f>Rozpis_Příjmy!AZ33</f>
        <v>211541.07</v>
      </c>
      <c r="I8" s="106">
        <f>Rozpis_Příjmy!BA33</f>
        <v>295541.07</v>
      </c>
      <c r="K8" s="106">
        <f>Rozpis_Příjmy!BC33</f>
        <v>0</v>
      </c>
      <c r="L8" s="106">
        <f>Rozpis_Příjmy!BD33</f>
        <v>295541.07</v>
      </c>
      <c r="N8" s="106">
        <f>Rozpis_Příjmy!BF33</f>
        <v>49297.26</v>
      </c>
      <c r="O8" s="106">
        <f>Rozpis_Příjmy!BG33</f>
        <v>344838.33</v>
      </c>
    </row>
    <row r="9" spans="1:15" s="117" customFormat="1" ht="16.5" thickBot="1">
      <c r="A9" s="115" t="s">
        <v>261</v>
      </c>
      <c r="B9" s="115"/>
      <c r="C9" s="116">
        <f>SUM(C5:C8)</f>
        <v>5291000</v>
      </c>
      <c r="D9" s="116">
        <f>SUM(D5:D8)</f>
        <v>6235240</v>
      </c>
      <c r="E9" s="116">
        <f>SUM(E5:E8)</f>
        <v>6200517.1000000006</v>
      </c>
      <c r="F9" s="116">
        <f>SUM(F5:F8)</f>
        <v>4392000</v>
      </c>
      <c r="H9" s="116">
        <f>SUM(H5:H8)</f>
        <v>211541.07</v>
      </c>
      <c r="I9" s="116">
        <f>SUM(I5:I8)</f>
        <v>4603541.07</v>
      </c>
      <c r="K9" s="116">
        <f>SUM(K5:K8)</f>
        <v>0</v>
      </c>
      <c r="L9" s="116">
        <f>SUM(L5:L8)</f>
        <v>4603541.07</v>
      </c>
      <c r="N9" s="116">
        <f>SUM(N5:N8)</f>
        <v>49297.26</v>
      </c>
      <c r="O9" s="116">
        <f>SUM(O5:O8)</f>
        <v>4652838.33</v>
      </c>
    </row>
    <row r="11" spans="1:15" ht="15.75">
      <c r="A11" s="111" t="s">
        <v>273</v>
      </c>
      <c r="B11" s="111" t="s">
        <v>5</v>
      </c>
      <c r="C11" s="111"/>
      <c r="D11" s="111"/>
      <c r="E11" s="111"/>
      <c r="F11" s="114"/>
      <c r="H11" s="221"/>
      <c r="I11" s="221"/>
      <c r="K11" s="221"/>
      <c r="L11" s="221"/>
      <c r="N11" s="221"/>
      <c r="O11" s="221"/>
    </row>
    <row r="12" spans="1:15">
      <c r="A12" s="105" t="s">
        <v>274</v>
      </c>
      <c r="B12" s="105" t="s">
        <v>275</v>
      </c>
      <c r="C12" s="106">
        <f>Rozpis_Výdaje!L332</f>
        <v>4309999.92</v>
      </c>
      <c r="D12" s="106">
        <f>Rozpis_Výdaje!AE332</f>
        <v>4954150</v>
      </c>
      <c r="E12" s="106">
        <f>Rozpis_Výdaje!AH332</f>
        <v>4665142.3800000008</v>
      </c>
      <c r="F12" s="106">
        <f>Rozpis_Výdaje!AK332</f>
        <v>4265000</v>
      </c>
      <c r="H12" s="106">
        <f>Rozpis_Výdaje!AR332</f>
        <v>100000</v>
      </c>
      <c r="I12" s="106">
        <f>Rozpis_Výdaje!AS332</f>
        <v>4365000</v>
      </c>
      <c r="K12" s="106">
        <f>Rozpis_Výdaje!AU332</f>
        <v>150300</v>
      </c>
      <c r="L12" s="106">
        <f>Rozpis_Výdaje!AV332</f>
        <v>4515300</v>
      </c>
      <c r="N12" s="106">
        <f>Rozpis_Výdaje!AX332</f>
        <v>49297.26</v>
      </c>
      <c r="O12" s="106">
        <f>Rozpis_Výdaje!AY332</f>
        <v>4564597.26</v>
      </c>
    </row>
    <row r="13" spans="1:15">
      <c r="A13" s="225" t="s">
        <v>458</v>
      </c>
      <c r="B13" s="105">
        <v>5171</v>
      </c>
      <c r="C13" s="106">
        <f>Rozpis_Výdaje!L333</f>
        <v>446000</v>
      </c>
      <c r="D13" s="106">
        <f>Rozpis_Výdaje!AE333</f>
        <v>935250</v>
      </c>
      <c r="E13" s="106">
        <f>Rozpis_Výdaje!AH333</f>
        <v>897748.58000000007</v>
      </c>
      <c r="F13" s="106">
        <f>Rozpis_Výdaje!AK333</f>
        <v>400000</v>
      </c>
      <c r="H13" s="106">
        <f>Rozpis_Výdaje!AR333</f>
        <v>0</v>
      </c>
      <c r="I13" s="106">
        <f>Rozpis_Výdaje!AS333</f>
        <v>400000</v>
      </c>
      <c r="K13" s="106">
        <f>Rozpis_Výdaje!AU333</f>
        <v>0</v>
      </c>
      <c r="L13" s="106">
        <f>Rozpis_Výdaje!AV333</f>
        <v>400000</v>
      </c>
      <c r="N13" s="106">
        <f>Rozpis_Výdaje!AX333</f>
        <v>49297.26</v>
      </c>
      <c r="O13" s="106">
        <f>Rozpis_Výdaje!AY333</f>
        <v>449297.26</v>
      </c>
    </row>
    <row r="14" spans="1:15">
      <c r="A14" s="105" t="s">
        <v>276</v>
      </c>
      <c r="B14" s="105" t="s">
        <v>277</v>
      </c>
      <c r="C14" s="106">
        <f>Rozpis_Výdaje!L335</f>
        <v>1760000</v>
      </c>
      <c r="D14" s="106">
        <f>Rozpis_Výdaje!AE335</f>
        <v>1365610</v>
      </c>
      <c r="E14" s="106">
        <f>Rozpis_Výdaje!AH335</f>
        <v>1363785.12</v>
      </c>
      <c r="F14" s="106">
        <f>Rozpis_Výdaje!AK335</f>
        <v>564000</v>
      </c>
      <c r="G14" s="105" t="s">
        <v>457</v>
      </c>
      <c r="H14" s="106">
        <f>Rozpis_Výdaje!AR335</f>
        <v>0</v>
      </c>
      <c r="I14" s="106">
        <f>Rozpis_Výdaje!AS335</f>
        <v>564000</v>
      </c>
      <c r="K14" s="106">
        <f>Rozpis_Výdaje!AU335</f>
        <v>0</v>
      </c>
      <c r="L14" s="106">
        <f>Rozpis_Výdaje!AV335</f>
        <v>564000</v>
      </c>
      <c r="N14" s="106">
        <f>Rozpis_Výdaje!AX335</f>
        <v>0</v>
      </c>
      <c r="O14" s="106">
        <f>Rozpis_Výdaje!AY335</f>
        <v>564000</v>
      </c>
    </row>
    <row r="15" spans="1:15" s="117" customFormat="1" ht="16.5" thickBot="1">
      <c r="A15" s="115" t="s">
        <v>262</v>
      </c>
      <c r="B15" s="115"/>
      <c r="C15" s="116">
        <f>C12+C14</f>
        <v>6069999.9199999999</v>
      </c>
      <c r="D15" s="116">
        <f>D12+D14</f>
        <v>6319760</v>
      </c>
      <c r="E15" s="116">
        <f>E12+E14</f>
        <v>6028927.5000000009</v>
      </c>
      <c r="F15" s="116">
        <f>F12+F14</f>
        <v>4829000</v>
      </c>
      <c r="H15" s="116">
        <f t="shared" ref="H15:I15" si="0">H12+H14</f>
        <v>100000</v>
      </c>
      <c r="I15" s="116">
        <f t="shared" si="0"/>
        <v>4929000</v>
      </c>
      <c r="K15" s="116">
        <f t="shared" ref="K15:L15" si="1">K12+K14</f>
        <v>150300</v>
      </c>
      <c r="L15" s="116">
        <f t="shared" si="1"/>
        <v>5079300</v>
      </c>
      <c r="N15" s="116">
        <f t="shared" ref="N15:O15" si="2">N12+N14</f>
        <v>49297.26</v>
      </c>
      <c r="O15" s="116">
        <f t="shared" si="2"/>
        <v>5128597.26</v>
      </c>
    </row>
    <row r="17" spans="1:15" ht="15.75" thickBot="1">
      <c r="A17" s="107" t="s">
        <v>278</v>
      </c>
      <c r="B17" s="107"/>
      <c r="C17" s="108">
        <f>C9-C15</f>
        <v>-778999.91999999993</v>
      </c>
      <c r="D17" s="108">
        <f>D9-D15</f>
        <v>-84520</v>
      </c>
      <c r="E17" s="108">
        <f>E9-E15</f>
        <v>171589.59999999963</v>
      </c>
      <c r="F17" s="108">
        <f>F9-F15</f>
        <v>-437000</v>
      </c>
      <c r="H17" s="108">
        <f>H9-H15</f>
        <v>111541.07</v>
      </c>
      <c r="I17" s="108">
        <f t="shared" ref="I17" si="3">I9-I15</f>
        <v>-325458.9299999997</v>
      </c>
      <c r="K17" s="108">
        <f>K9-K15</f>
        <v>-150300</v>
      </c>
      <c r="L17" s="108">
        <f t="shared" ref="L17" si="4">L9-L15</f>
        <v>-475758.9299999997</v>
      </c>
      <c r="N17" s="108">
        <f>N9-N15</f>
        <v>0</v>
      </c>
      <c r="O17" s="108">
        <f t="shared" ref="O17" si="5">O9-O15</f>
        <v>-475758.9299999997</v>
      </c>
    </row>
    <row r="19" spans="1:15" ht="15.75">
      <c r="A19" s="111" t="s">
        <v>279</v>
      </c>
      <c r="B19" s="111" t="s">
        <v>5</v>
      </c>
      <c r="C19" s="111"/>
      <c r="D19" s="111"/>
      <c r="E19" s="111"/>
      <c r="F19" s="114"/>
      <c r="H19" s="221"/>
      <c r="I19" s="221"/>
      <c r="K19" s="221"/>
      <c r="L19" s="221"/>
      <c r="N19" s="221"/>
      <c r="O19" s="221"/>
    </row>
    <row r="20" spans="1:15">
      <c r="A20" s="105" t="s">
        <v>280</v>
      </c>
      <c r="B20" s="105">
        <v>8115</v>
      </c>
      <c r="C20" s="106">
        <v>779000</v>
      </c>
      <c r="D20" s="106">
        <v>84520</v>
      </c>
      <c r="E20" s="106">
        <v>0</v>
      </c>
      <c r="F20" s="106">
        <v>437000</v>
      </c>
      <c r="H20" s="106">
        <v>0</v>
      </c>
      <c r="I20" s="106">
        <f>F20+H21</f>
        <v>325459</v>
      </c>
      <c r="K20" s="106">
        <v>150300</v>
      </c>
      <c r="L20" s="106">
        <f>I20+K20</f>
        <v>475759</v>
      </c>
      <c r="N20" s="106">
        <v>0</v>
      </c>
      <c r="O20" s="106">
        <f>L20+N20</f>
        <v>475759</v>
      </c>
    </row>
    <row r="21" spans="1:15">
      <c r="A21" s="105" t="s">
        <v>362</v>
      </c>
      <c r="B21" s="105">
        <v>8115</v>
      </c>
      <c r="C21" s="106">
        <v>0</v>
      </c>
      <c r="D21" s="106">
        <v>0</v>
      </c>
      <c r="E21" s="106">
        <f>-E17</f>
        <v>-171589.59999999963</v>
      </c>
      <c r="F21" s="106">
        <v>0</v>
      </c>
      <c r="H21" s="106">
        <v>-111541</v>
      </c>
      <c r="I21" s="106">
        <v>0</v>
      </c>
      <c r="K21" s="106">
        <v>0</v>
      </c>
      <c r="L21" s="106">
        <v>0</v>
      </c>
      <c r="N21" s="106">
        <v>0</v>
      </c>
      <c r="O21" s="106">
        <v>0</v>
      </c>
    </row>
    <row r="22" spans="1:15">
      <c r="A22" s="105" t="s">
        <v>358</v>
      </c>
      <c r="B22" s="105">
        <v>8123</v>
      </c>
      <c r="C22" s="106">
        <v>0</v>
      </c>
      <c r="D22" s="106">
        <v>0</v>
      </c>
      <c r="E22" s="106">
        <v>0</v>
      </c>
      <c r="F22" s="106">
        <v>0</v>
      </c>
      <c r="H22" s="106">
        <v>0</v>
      </c>
      <c r="I22" s="106">
        <v>0</v>
      </c>
      <c r="K22" s="106">
        <v>0</v>
      </c>
      <c r="L22" s="106">
        <v>0</v>
      </c>
      <c r="N22" s="106">
        <v>0</v>
      </c>
      <c r="O22" s="106">
        <v>0</v>
      </c>
    </row>
    <row r="23" spans="1:15" s="117" customFormat="1" ht="17.25" customHeight="1" thickBot="1">
      <c r="A23" s="115" t="s">
        <v>359</v>
      </c>
      <c r="B23" s="115"/>
      <c r="C23" s="116">
        <f>SUM(C20:C22)</f>
        <v>779000</v>
      </c>
      <c r="D23" s="116">
        <f>SUM(D20:D22)</f>
        <v>84520</v>
      </c>
      <c r="E23" s="116">
        <f>SUM(E20:E22)</f>
        <v>-171589.59999999963</v>
      </c>
      <c r="F23" s="116">
        <f>SUM(F20:F22)</f>
        <v>437000</v>
      </c>
      <c r="H23" s="116">
        <f>SUM(H20:H22)</f>
        <v>-111541</v>
      </c>
      <c r="I23" s="116">
        <f>SUM(I20:I22)</f>
        <v>325459</v>
      </c>
      <c r="K23" s="116">
        <f>SUM(K20:K22)</f>
        <v>150300</v>
      </c>
      <c r="L23" s="116">
        <f>SUM(L20:L22)</f>
        <v>475759</v>
      </c>
      <c r="N23" s="116">
        <f>SUM(N20:N22)</f>
        <v>0</v>
      </c>
      <c r="O23" s="116">
        <f>SUM(O20:O22)</f>
        <v>475759</v>
      </c>
    </row>
    <row r="24" spans="1:15">
      <c r="H24" s="106"/>
      <c r="I24" s="106"/>
      <c r="K24" s="106"/>
      <c r="L24" s="106"/>
      <c r="N24" s="106"/>
      <c r="O24" s="106"/>
    </row>
    <row r="25" spans="1:15" ht="15.75" thickBot="1">
      <c r="A25" s="109" t="s">
        <v>360</v>
      </c>
      <c r="B25" s="109"/>
      <c r="C25" s="110">
        <f>C9-C15+C23</f>
        <v>8.0000000074505806E-2</v>
      </c>
      <c r="D25" s="110">
        <f>D9-D15+D23</f>
        <v>0</v>
      </c>
      <c r="E25" s="110">
        <f>E9-E15+E23</f>
        <v>0</v>
      </c>
      <c r="F25" s="110">
        <f>F9-F15+F23</f>
        <v>0</v>
      </c>
      <c r="H25" s="110">
        <f>H9-H15+H23</f>
        <v>7.0000000006984919E-2</v>
      </c>
      <c r="I25" s="110">
        <f>I9-I15+I23</f>
        <v>7.0000000298023224E-2</v>
      </c>
      <c r="K25" s="110">
        <f>K9-K15+K23</f>
        <v>0</v>
      </c>
      <c r="L25" s="110">
        <f>L9-L15+L23</f>
        <v>7.0000000298023224E-2</v>
      </c>
      <c r="N25" s="110">
        <f>N9-N15+N23</f>
        <v>0</v>
      </c>
      <c r="O25" s="110">
        <f>O9-O15+O23</f>
        <v>7.0000000298023224E-2</v>
      </c>
    </row>
    <row r="27" spans="1:15">
      <c r="A27" s="105" t="s">
        <v>474</v>
      </c>
    </row>
    <row r="28" spans="1:15">
      <c r="A28" s="105" t="s">
        <v>470</v>
      </c>
    </row>
    <row r="29" spans="1:15">
      <c r="A29" s="105" t="s">
        <v>477</v>
      </c>
      <c r="B29" s="132"/>
    </row>
    <row r="30" spans="1:15">
      <c r="A30" s="105" t="s">
        <v>481</v>
      </c>
      <c r="B30" s="132"/>
      <c r="J30" s="219"/>
    </row>
    <row r="31" spans="1:15">
      <c r="B31" s="132"/>
      <c r="J31" s="219" t="s">
        <v>461</v>
      </c>
    </row>
    <row r="32" spans="1:15">
      <c r="J32" s="219" t="s">
        <v>462</v>
      </c>
    </row>
    <row r="33" spans="1:1">
      <c r="A33" s="104" t="s">
        <v>480</v>
      </c>
    </row>
    <row r="34" spans="1:1">
      <c r="A34" s="104"/>
    </row>
    <row r="35" spans="1:1">
      <c r="A35" s="104" t="s">
        <v>382</v>
      </c>
    </row>
  </sheetData>
  <mergeCells count="4">
    <mergeCell ref="A2:F2"/>
    <mergeCell ref="H3:I3"/>
    <mergeCell ref="K3:L3"/>
    <mergeCell ref="N3:O3"/>
  </mergeCells>
  <pageMargins left="0.70866141732283472" right="0.70866141732283472" top="0.78740157480314965" bottom="0.78740157480314965" header="0.31496062992125984" footer="0.31496062992125984"/>
  <pageSetup paperSize="9" scale="7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07D3D-CBCB-4BA1-8C3F-D231DFC5ACE3}">
  <sheetPr>
    <tabColor theme="9" tint="-0.249977111117893"/>
    <pageSetUpPr fitToPage="1"/>
  </sheetPr>
  <dimension ref="A1:I35"/>
  <sheetViews>
    <sheetView tabSelected="1" workbookViewId="0">
      <selection activeCell="N14" sqref="N14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3" width="19.5703125" style="105" customWidth="1"/>
    <col min="4" max="5" width="18.28515625" style="105" customWidth="1"/>
    <col min="6" max="6" width="18.28515625" style="106" customWidth="1"/>
    <col min="7" max="7" width="10.5703125" style="413" customWidth="1"/>
    <col min="8" max="8" width="10.5703125" style="407" customWidth="1"/>
    <col min="9" max="16384" width="9.140625" style="105"/>
  </cols>
  <sheetData>
    <row r="1" spans="1:9">
      <c r="F1" s="105"/>
      <c r="G1" s="104"/>
      <c r="H1" s="104"/>
    </row>
    <row r="2" spans="1:9" ht="23.25">
      <c r="A2" s="431" t="s">
        <v>689</v>
      </c>
      <c r="B2" s="431"/>
      <c r="C2" s="431"/>
      <c r="D2" s="431"/>
      <c r="E2" s="431"/>
      <c r="F2" s="431"/>
      <c r="G2" s="406"/>
    </row>
    <row r="4" spans="1:9" ht="31.5">
      <c r="A4" s="111" t="s">
        <v>263</v>
      </c>
      <c r="B4" s="111" t="s">
        <v>5</v>
      </c>
      <c r="C4" s="112" t="s">
        <v>657</v>
      </c>
      <c r="D4" s="112" t="s">
        <v>690</v>
      </c>
      <c r="E4" s="112" t="s">
        <v>691</v>
      </c>
      <c r="F4" s="113" t="s">
        <v>694</v>
      </c>
      <c r="G4" s="408" t="s">
        <v>692</v>
      </c>
      <c r="H4" s="409" t="s">
        <v>693</v>
      </c>
    </row>
    <row r="5" spans="1:9">
      <c r="A5" s="105" t="s">
        <v>265</v>
      </c>
      <c r="B5" s="105" t="s">
        <v>266</v>
      </c>
      <c r="C5" s="106">
        <f>Rozpis_Příjmy!DU22</f>
        <v>6763000</v>
      </c>
      <c r="D5" s="106">
        <f>Rozpis_Příjmy!EG22</f>
        <v>6727114</v>
      </c>
      <c r="E5" s="106">
        <f>Rozpis_Příjmy!EI22</f>
        <v>6594028.2300000004</v>
      </c>
      <c r="F5" s="106">
        <f>Rozpis_Příjmy!EK22</f>
        <v>6645800</v>
      </c>
      <c r="G5" s="410">
        <f>F5/D5-1</f>
        <v>-1.208750141591175E-2</v>
      </c>
      <c r="H5" s="410">
        <f>F5/E5-1</f>
        <v>7.8513115495109087E-3</v>
      </c>
    </row>
    <row r="6" spans="1:9">
      <c r="A6" s="105" t="s">
        <v>267</v>
      </c>
      <c r="B6" s="105" t="s">
        <v>268</v>
      </c>
      <c r="C6" s="106">
        <f>Rozpis_Příjmy!DU111</f>
        <v>430400</v>
      </c>
      <c r="D6" s="106">
        <f>Rozpis_Příjmy!EG111</f>
        <v>689610</v>
      </c>
      <c r="E6" s="106">
        <f>Rozpis_Příjmy!EI111</f>
        <v>792358.71</v>
      </c>
      <c r="F6" s="106">
        <f>Rozpis_Příjmy!EK111</f>
        <v>710800</v>
      </c>
      <c r="G6" s="410">
        <f t="shared" ref="G6:G8" si="0">F6/D6-1</f>
        <v>3.0727512652078737E-2</v>
      </c>
      <c r="H6" s="410">
        <f t="shared" ref="H6:H14" si="1">F6/E6-1</f>
        <v>-0.10293154977749908</v>
      </c>
    </row>
    <row r="7" spans="1:9">
      <c r="A7" s="105" t="s">
        <v>269</v>
      </c>
      <c r="B7" s="105" t="s">
        <v>270</v>
      </c>
      <c r="C7" s="106">
        <f>Rozpis_Příjmy!DU89</f>
        <v>40000</v>
      </c>
      <c r="D7" s="106">
        <f>Rozpis_Příjmy!EG89</f>
        <v>82066</v>
      </c>
      <c r="E7" s="106">
        <f>Rozpis_Příjmy!EI89</f>
        <v>592</v>
      </c>
      <c r="F7" s="106">
        <f>Rozpis_Příjmy!EK89</f>
        <v>100000</v>
      </c>
      <c r="G7" s="410">
        <f t="shared" si="0"/>
        <v>0.2185314259254747</v>
      </c>
      <c r="H7" s="410">
        <f t="shared" si="1"/>
        <v>167.91891891891891</v>
      </c>
    </row>
    <row r="8" spans="1:9">
      <c r="A8" s="105" t="s">
        <v>271</v>
      </c>
      <c r="B8" s="105" t="s">
        <v>272</v>
      </c>
      <c r="C8" s="106">
        <f>Rozpis_Příjmy!DU33</f>
        <v>179700</v>
      </c>
      <c r="D8" s="106">
        <f>Rozpis_Příjmy!EG33</f>
        <v>318671</v>
      </c>
      <c r="E8" s="106">
        <f>Rozpis_Příjmy!EI33</f>
        <v>318671</v>
      </c>
      <c r="F8" s="106">
        <f>Rozpis_Příjmy!EK33</f>
        <v>80300</v>
      </c>
      <c r="G8" s="410">
        <f t="shared" si="0"/>
        <v>-0.74801597886221205</v>
      </c>
      <c r="H8" s="410">
        <f t="shared" si="1"/>
        <v>-0.74801597886221205</v>
      </c>
    </row>
    <row r="9" spans="1:9" s="117" customFormat="1" ht="16.5" thickBot="1">
      <c r="A9" s="115" t="s">
        <v>261</v>
      </c>
      <c r="B9" s="115"/>
      <c r="C9" s="116">
        <f>SUM(C5:C8)</f>
        <v>7413100</v>
      </c>
      <c r="D9" s="116">
        <f>SUM(D5:D8)</f>
        <v>7817461</v>
      </c>
      <c r="E9" s="116">
        <f>SUM(E5:E8)</f>
        <v>7705649.9400000004</v>
      </c>
      <c r="F9" s="116">
        <f>SUM(F5:F8)</f>
        <v>7536900</v>
      </c>
      <c r="G9" s="411">
        <f>F9/D9-1</f>
        <v>-3.5889018186339494E-2</v>
      </c>
      <c r="H9" s="412">
        <f t="shared" si="1"/>
        <v>-2.1899507674754348E-2</v>
      </c>
    </row>
    <row r="10" spans="1:9">
      <c r="H10" s="410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414"/>
      <c r="H11" s="415"/>
    </row>
    <row r="12" spans="1:9">
      <c r="A12" s="105" t="s">
        <v>274</v>
      </c>
      <c r="B12" s="105" t="s">
        <v>275</v>
      </c>
      <c r="C12" s="106">
        <f>Rozpis_Výdaje!EK332</f>
        <v>5939880.0999999996</v>
      </c>
      <c r="D12" s="106">
        <f>Rozpis_Výdaje!FR332</f>
        <v>6088441.0999999996</v>
      </c>
      <c r="E12" s="106">
        <f>Rozpis_Výdaje!FT332</f>
        <v>5823835.5100000016</v>
      </c>
      <c r="F12" s="106">
        <f>Rozpis_Výdaje!FV332</f>
        <v>5989469.4000000004</v>
      </c>
      <c r="G12" s="410">
        <f t="shared" ref="G12:G13" si="2">F12/D12-1</f>
        <v>-1.6255671751509437E-2</v>
      </c>
      <c r="H12" s="410">
        <f t="shared" si="1"/>
        <v>2.8440688222665544E-2</v>
      </c>
    </row>
    <row r="13" spans="1:9">
      <c r="A13" s="105" t="s">
        <v>276</v>
      </c>
      <c r="B13" s="105" t="s">
        <v>277</v>
      </c>
      <c r="C13" s="106">
        <f>Rozpis_Výdaje!EK335</f>
        <v>2258340</v>
      </c>
      <c r="D13" s="106">
        <f>Rozpis_Výdaje!FR335</f>
        <v>2480440</v>
      </c>
      <c r="E13" s="106">
        <f>Rozpis_Výdaje!FT335</f>
        <v>2403137.06</v>
      </c>
      <c r="F13" s="106">
        <f>Rozpis_Výdaje!FV335</f>
        <v>813300</v>
      </c>
      <c r="G13" s="410">
        <f t="shared" si="2"/>
        <v>-0.67211462482462792</v>
      </c>
      <c r="H13" s="410">
        <f t="shared" si="1"/>
        <v>-0.66156736811341088</v>
      </c>
      <c r="I13" s="105" t="s">
        <v>457</v>
      </c>
    </row>
    <row r="14" spans="1:9" s="117" customFormat="1" ht="16.5" thickBot="1">
      <c r="A14" s="115" t="s">
        <v>262</v>
      </c>
      <c r="B14" s="115"/>
      <c r="C14" s="116">
        <f>C12+C13</f>
        <v>8198220.0999999996</v>
      </c>
      <c r="D14" s="116">
        <f>D12+D13</f>
        <v>8568881.0999999996</v>
      </c>
      <c r="E14" s="116">
        <f>E12+E13</f>
        <v>8226972.5700000022</v>
      </c>
      <c r="F14" s="116">
        <f>F12+F13</f>
        <v>6802769.4000000004</v>
      </c>
      <c r="G14" s="411">
        <f>F14/D14-1</f>
        <v>-0.20610762121556325</v>
      </c>
      <c r="H14" s="412">
        <f t="shared" si="1"/>
        <v>-0.17311388337350464</v>
      </c>
    </row>
    <row r="16" spans="1:9" ht="15.75" thickBot="1">
      <c r="A16" s="107" t="s">
        <v>278</v>
      </c>
      <c r="B16" s="107"/>
      <c r="C16" s="108">
        <f>C9-C14</f>
        <v>-785120.09999999963</v>
      </c>
      <c r="D16" s="108">
        <f>D9-D14</f>
        <v>-751420.09999999963</v>
      </c>
      <c r="E16" s="108">
        <f>E9-E14</f>
        <v>-521322.63000000175</v>
      </c>
      <c r="F16" s="108">
        <f>F9-F14</f>
        <v>734130.59999999963</v>
      </c>
      <c r="G16" s="416"/>
    </row>
    <row r="17" spans="1:8">
      <c r="G17" s="416"/>
    </row>
    <row r="18" spans="1:8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416"/>
    </row>
    <row r="19" spans="1:8" ht="15.75">
      <c r="A19" s="105" t="s">
        <v>697</v>
      </c>
      <c r="B19" s="105">
        <v>8113</v>
      </c>
      <c r="C19" s="117"/>
      <c r="D19" s="117"/>
      <c r="E19" s="117"/>
      <c r="F19" s="461"/>
      <c r="G19" s="416"/>
    </row>
    <row r="20" spans="1:8" ht="15.75">
      <c r="A20" s="105" t="s">
        <v>698</v>
      </c>
      <c r="B20" s="105">
        <v>8114</v>
      </c>
      <c r="C20" s="117"/>
      <c r="D20" s="117"/>
      <c r="E20" s="117"/>
      <c r="F20" s="461"/>
      <c r="G20" s="416"/>
    </row>
    <row r="21" spans="1:8">
      <c r="A21" s="105" t="s">
        <v>280</v>
      </c>
      <c r="B21" s="105">
        <v>8115</v>
      </c>
      <c r="C21" s="106">
        <v>1026120</v>
      </c>
      <c r="D21" s="106">
        <v>992420</v>
      </c>
      <c r="E21" s="106">
        <v>762067</v>
      </c>
      <c r="G21" s="416"/>
    </row>
    <row r="22" spans="1:8">
      <c r="A22" s="105" t="s">
        <v>362</v>
      </c>
      <c r="B22" s="105">
        <v>8115</v>
      </c>
      <c r="C22" s="106"/>
      <c r="D22" s="106">
        <v>0</v>
      </c>
      <c r="E22" s="106"/>
      <c r="F22" s="106">
        <v>-493131</v>
      </c>
      <c r="G22" s="416"/>
    </row>
    <row r="23" spans="1:8">
      <c r="A23" s="105" t="s">
        <v>646</v>
      </c>
      <c r="B23" s="105">
        <v>8117</v>
      </c>
      <c r="C23" s="106">
        <v>1000000</v>
      </c>
      <c r="D23" s="106">
        <v>1000000</v>
      </c>
      <c r="E23" s="106"/>
      <c r="F23" s="106">
        <v>1000000</v>
      </c>
      <c r="G23" s="416"/>
      <c r="H23" s="407" t="s">
        <v>457</v>
      </c>
    </row>
    <row r="24" spans="1:8">
      <c r="A24" s="105" t="s">
        <v>647</v>
      </c>
      <c r="B24" s="105">
        <v>8118</v>
      </c>
      <c r="C24" s="106">
        <v>-1000000</v>
      </c>
      <c r="D24" s="106">
        <v>-1000000</v>
      </c>
      <c r="E24" s="106"/>
      <c r="F24" s="106">
        <v>-1000000</v>
      </c>
      <c r="G24" s="416"/>
    </row>
    <row r="25" spans="1:8">
      <c r="A25" s="105" t="s">
        <v>358</v>
      </c>
      <c r="B25" s="105">
        <v>8123</v>
      </c>
      <c r="C25" s="106"/>
      <c r="D25" s="106"/>
      <c r="E25" s="106"/>
      <c r="G25" s="416"/>
    </row>
    <row r="26" spans="1:8">
      <c r="A26" s="105" t="s">
        <v>577</v>
      </c>
      <c r="B26" s="105">
        <v>8124</v>
      </c>
      <c r="C26" s="106">
        <v>-241000</v>
      </c>
      <c r="D26" s="106">
        <v>-241000</v>
      </c>
      <c r="E26" s="106">
        <v>-240744</v>
      </c>
      <c r="F26" s="106">
        <v>-241000</v>
      </c>
      <c r="G26" s="416"/>
    </row>
    <row r="27" spans="1:8" s="117" customFormat="1" ht="17.25" customHeight="1" thickBot="1">
      <c r="A27" s="115" t="s">
        <v>359</v>
      </c>
      <c r="B27" s="115"/>
      <c r="C27" s="116">
        <f>SUM(C21:C26)</f>
        <v>785120</v>
      </c>
      <c r="D27" s="116">
        <f t="shared" ref="D27:E27" si="3">SUM(D21:D26)</f>
        <v>751420</v>
      </c>
      <c r="E27" s="116">
        <f t="shared" si="3"/>
        <v>521323</v>
      </c>
      <c r="F27" s="116">
        <f>SUM(F19:F26)</f>
        <v>-734131</v>
      </c>
      <c r="G27" s="416"/>
      <c r="H27" s="417"/>
    </row>
    <row r="29" spans="1:8" ht="15.75" thickBot="1">
      <c r="A29" s="109" t="s">
        <v>360</v>
      </c>
      <c r="B29" s="109"/>
      <c r="C29" s="110">
        <f>C9-C14+C27</f>
        <v>-9.999999962747097E-2</v>
      </c>
      <c r="D29" s="110">
        <f>D9-D14+D27</f>
        <v>-9.999999962747097E-2</v>
      </c>
      <c r="E29" s="110">
        <f>E9-E14+E27</f>
        <v>0.36999999824911356</v>
      </c>
      <c r="F29" s="110">
        <f>F9-F14+F27</f>
        <v>-0.40000000037252903</v>
      </c>
    </row>
    <row r="30" spans="1:8">
      <c r="C30" s="106"/>
      <c r="D30" s="106"/>
      <c r="E30" s="106"/>
    </row>
    <row r="31" spans="1:8">
      <c r="A31" s="104"/>
      <c r="D31" s="105" t="s">
        <v>457</v>
      </c>
    </row>
    <row r="32" spans="1:8">
      <c r="A32" s="104"/>
    </row>
    <row r="33" spans="1:5">
      <c r="A33" s="104" t="s">
        <v>703</v>
      </c>
      <c r="B33" s="132"/>
      <c r="E33" s="219" t="s">
        <v>461</v>
      </c>
    </row>
    <row r="34" spans="1:5">
      <c r="A34" s="104"/>
      <c r="E34" s="219" t="s">
        <v>462</v>
      </c>
    </row>
    <row r="35" spans="1:5">
      <c r="A35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5466F-70E4-4217-B997-CC6919DBFCDA}">
  <sheetPr>
    <tabColor rgb="FFFFFF00"/>
    <pageSetUpPr fitToPage="1"/>
  </sheetPr>
  <dimension ref="A1:R36"/>
  <sheetViews>
    <sheetView zoomScale="80" zoomScaleNormal="80" workbookViewId="0">
      <selection activeCell="V19" sqref="V19"/>
    </sheetView>
  </sheetViews>
  <sheetFormatPr defaultColWidth="9.140625" defaultRowHeight="15" outlineLevelCol="1"/>
  <cols>
    <col min="1" max="1" width="35.7109375" style="105" customWidth="1"/>
    <col min="2" max="2" width="10.85546875" style="105" customWidth="1"/>
    <col min="3" max="3" width="19.28515625" style="105" customWidth="1"/>
    <col min="4" max="5" width="18.28515625" style="105" customWidth="1"/>
    <col min="6" max="6" width="17.7109375" style="106" customWidth="1"/>
    <col min="7" max="7" width="2.7109375" style="413" customWidth="1"/>
    <col min="8" max="8" width="14.7109375" style="407" hidden="1" customWidth="1" outlineLevel="1"/>
    <col min="9" max="9" width="13.7109375" style="105" hidden="1" customWidth="1" outlineLevel="1"/>
    <col min="10" max="10" width="3.28515625" style="105" hidden="1" customWidth="1" outlineLevel="1"/>
    <col min="11" max="11" width="14" style="105" hidden="1" customWidth="1" outlineLevel="1"/>
    <col min="12" max="12" width="14.85546875" style="105" hidden="1" customWidth="1" outlineLevel="1"/>
    <col min="13" max="13" width="2.5703125" style="105" hidden="1" customWidth="1" outlineLevel="1"/>
    <col min="14" max="14" width="14" style="105" customWidth="1" collapsed="1"/>
    <col min="15" max="15" width="14.85546875" style="105" customWidth="1"/>
    <col min="16" max="16" width="3.140625" style="105" customWidth="1"/>
    <col min="17" max="17" width="14" style="105" customWidth="1"/>
    <col min="18" max="18" width="16.85546875" style="105" customWidth="1"/>
    <col min="19" max="19" width="2.7109375" style="105" customWidth="1"/>
    <col min="20" max="20" width="11" style="105" customWidth="1"/>
    <col min="21" max="16384" width="9.140625" style="105"/>
  </cols>
  <sheetData>
    <row r="1" spans="1:18">
      <c r="F1" s="105"/>
      <c r="G1" s="104"/>
      <c r="H1" s="104"/>
    </row>
    <row r="2" spans="1:18" ht="23.25">
      <c r="A2" s="431" t="s">
        <v>656</v>
      </c>
      <c r="B2" s="431"/>
      <c r="C2" s="431"/>
      <c r="D2" s="431"/>
      <c r="E2" s="431"/>
      <c r="F2" s="431"/>
      <c r="G2" s="406"/>
    </row>
    <row r="3" spans="1:18" ht="15.75">
      <c r="H3" s="117" t="s">
        <v>469</v>
      </c>
      <c r="I3" s="117"/>
      <c r="K3" s="117" t="s">
        <v>478</v>
      </c>
      <c r="L3" s="117"/>
      <c r="N3" s="117" t="s">
        <v>482</v>
      </c>
      <c r="O3" s="117"/>
      <c r="Q3" s="117" t="s">
        <v>489</v>
      </c>
      <c r="R3" s="117"/>
    </row>
    <row r="4" spans="1:18" ht="45">
      <c r="A4" s="111" t="s">
        <v>263</v>
      </c>
      <c r="B4" s="111" t="s">
        <v>5</v>
      </c>
      <c r="C4" s="112" t="s">
        <v>640</v>
      </c>
      <c r="D4" s="112" t="s">
        <v>641</v>
      </c>
      <c r="E4" s="112" t="s">
        <v>642</v>
      </c>
      <c r="F4" s="113" t="s">
        <v>657</v>
      </c>
      <c r="G4" s="418"/>
      <c r="H4" s="222" t="s">
        <v>472</v>
      </c>
      <c r="I4" s="222" t="s">
        <v>473</v>
      </c>
      <c r="K4" s="222" t="s">
        <v>472</v>
      </c>
      <c r="L4" s="222" t="s">
        <v>473</v>
      </c>
      <c r="N4" s="222" t="s">
        <v>472</v>
      </c>
      <c r="O4" s="222" t="s">
        <v>473</v>
      </c>
      <c r="Q4" s="222" t="s">
        <v>472</v>
      </c>
      <c r="R4" s="222" t="s">
        <v>473</v>
      </c>
    </row>
    <row r="5" spans="1:18">
      <c r="A5" s="105" t="s">
        <v>265</v>
      </c>
      <c r="B5" s="105" t="s">
        <v>266</v>
      </c>
      <c r="C5" s="106">
        <f>Rozpis_Příjmy!CR22</f>
        <v>6126400</v>
      </c>
      <c r="D5" s="106">
        <f>Rozpis_Příjmy!DQ22</f>
        <v>6154752</v>
      </c>
      <c r="E5" s="106">
        <f>Rozpis_Příjmy!DS22</f>
        <v>6279896.7999999998</v>
      </c>
      <c r="F5" s="106">
        <f>Rozpis_Příjmy!DU22</f>
        <v>6763000</v>
      </c>
      <c r="G5" s="419"/>
      <c r="H5" s="106">
        <f>Rozpis_Příjmy!DW22</f>
        <v>63080</v>
      </c>
      <c r="I5" s="106">
        <f>Rozpis_Příjmy!DX22</f>
        <v>6826080</v>
      </c>
      <c r="J5" s="106"/>
      <c r="K5" s="106">
        <f>Rozpis_Příjmy!DZ22</f>
        <v>4500</v>
      </c>
      <c r="L5" s="106">
        <f>Rozpis_Příjmy!EA22</f>
        <v>6830580</v>
      </c>
      <c r="N5" s="106">
        <f>Rozpis_Příjmy!EC22</f>
        <v>0</v>
      </c>
      <c r="O5" s="106">
        <f>Rozpis_Příjmy!ED22</f>
        <v>6830580</v>
      </c>
      <c r="Q5" s="106">
        <f>Rozpis_Příjmy!EF22</f>
        <v>-103466</v>
      </c>
      <c r="R5" s="106">
        <f>Rozpis_Příjmy!EG22</f>
        <v>6727114</v>
      </c>
    </row>
    <row r="6" spans="1:18">
      <c r="A6" s="105" t="s">
        <v>267</v>
      </c>
      <c r="B6" s="105" t="s">
        <v>268</v>
      </c>
      <c r="C6" s="106">
        <f>Rozpis_Příjmy!CR111</f>
        <v>514800</v>
      </c>
      <c r="D6" s="106">
        <f>Rozpis_Příjmy!DQ111</f>
        <v>821750</v>
      </c>
      <c r="E6" s="106">
        <f>Rozpis_Příjmy!DS111</f>
        <v>801065.93</v>
      </c>
      <c r="F6" s="106">
        <f>Rozpis_Příjmy!DU111</f>
        <v>430400</v>
      </c>
      <c r="G6" s="419"/>
      <c r="H6" s="106">
        <f>Rozpis_Příjmy!DW111</f>
        <v>0</v>
      </c>
      <c r="I6" s="106">
        <f>Rozpis_Příjmy!DX111</f>
        <v>430400</v>
      </c>
      <c r="K6" s="106">
        <f>Rozpis_Příjmy!DZ111</f>
        <v>283820</v>
      </c>
      <c r="L6" s="106">
        <f>Rozpis_Příjmy!EA111</f>
        <v>714220</v>
      </c>
      <c r="N6" s="106">
        <f>Rozpis_Příjmy!EC111</f>
        <v>0</v>
      </c>
      <c r="O6" s="106">
        <f>Rozpis_Příjmy!ED111</f>
        <v>714220</v>
      </c>
      <c r="Q6" s="106">
        <f>Rozpis_Příjmy!EF111</f>
        <v>-24610</v>
      </c>
      <c r="R6" s="106">
        <f>Rozpis_Příjmy!EG111</f>
        <v>689610</v>
      </c>
    </row>
    <row r="7" spans="1:18">
      <c r="A7" s="105" t="s">
        <v>269</v>
      </c>
      <c r="B7" s="105" t="s">
        <v>270</v>
      </c>
      <c r="C7" s="106">
        <f>Rozpis_Příjmy!CR89</f>
        <v>30000</v>
      </c>
      <c r="D7" s="106">
        <f>Rozpis_Příjmy!DQ89</f>
        <v>191500</v>
      </c>
      <c r="E7" s="106">
        <f>Rozpis_Příjmy!DS89</f>
        <v>205926</v>
      </c>
      <c r="F7" s="106">
        <f>Rozpis_Příjmy!DU89</f>
        <v>40000</v>
      </c>
      <c r="G7" s="419"/>
      <c r="H7" s="106">
        <f>Rozpis_Příjmy!DW89</f>
        <v>0</v>
      </c>
      <c r="I7" s="106">
        <f>Rozpis_Příjmy!DX89</f>
        <v>40000</v>
      </c>
      <c r="K7" s="106">
        <f>Rozpis_Příjmy!DZ89</f>
        <v>0</v>
      </c>
      <c r="L7" s="106">
        <f>Rozpis_Příjmy!EA89</f>
        <v>40000</v>
      </c>
      <c r="N7" s="106">
        <f>Rozpis_Příjmy!EC89</f>
        <v>0</v>
      </c>
      <c r="O7" s="106">
        <f>Rozpis_Příjmy!ED89</f>
        <v>40000</v>
      </c>
      <c r="Q7" s="106">
        <f>Rozpis_Příjmy!EF89</f>
        <v>42066</v>
      </c>
      <c r="R7" s="106">
        <f>Rozpis_Příjmy!EG89</f>
        <v>82066</v>
      </c>
    </row>
    <row r="8" spans="1:18">
      <c r="A8" s="105" t="s">
        <v>271</v>
      </c>
      <c r="B8" s="105" t="s">
        <v>272</v>
      </c>
      <c r="C8" s="106">
        <f>Rozpis_Příjmy!CR33</f>
        <v>365188.89</v>
      </c>
      <c r="D8" s="106">
        <v>1624040</v>
      </c>
      <c r="E8" s="106">
        <f>Rozpis_Příjmy!DS33</f>
        <v>1624040</v>
      </c>
      <c r="F8" s="106">
        <f>Rozpis_Příjmy!DU33</f>
        <v>179700</v>
      </c>
      <c r="G8" s="419"/>
      <c r="H8" s="106">
        <f>Rozpis_Příjmy!DW33</f>
        <v>0</v>
      </c>
      <c r="I8" s="106">
        <f>Rozpis_Příjmy!DX33</f>
        <v>179700</v>
      </c>
      <c r="K8" s="106">
        <f>Rozpis_Příjmy!DZ33</f>
        <v>72500</v>
      </c>
      <c r="L8" s="106">
        <f>Rozpis_Příjmy!EA33</f>
        <v>252200</v>
      </c>
      <c r="N8" s="106">
        <f>Rozpis_Příjmy!EC33</f>
        <v>48000</v>
      </c>
      <c r="O8" s="106">
        <f>Rozpis_Příjmy!ED33</f>
        <v>300200</v>
      </c>
      <c r="Q8" s="106">
        <f>Rozpis_Příjmy!EF33</f>
        <v>18471</v>
      </c>
      <c r="R8" s="106">
        <f>Rozpis_Příjmy!EG33</f>
        <v>318671</v>
      </c>
    </row>
    <row r="9" spans="1:18" s="117" customFormat="1" ht="16.5" thickBot="1">
      <c r="A9" s="115" t="s">
        <v>261</v>
      </c>
      <c r="B9" s="115"/>
      <c r="C9" s="116">
        <f>SUM(C5:C8)</f>
        <v>7036388.8899999997</v>
      </c>
      <c r="D9" s="116">
        <f>SUM(D5:D8)</f>
        <v>8792042</v>
      </c>
      <c r="E9" s="116">
        <f>SUM(E5:E8)</f>
        <v>8910928.7300000004</v>
      </c>
      <c r="F9" s="116">
        <f>SUM(F5:F8)</f>
        <v>7413100</v>
      </c>
      <c r="G9" s="419"/>
      <c r="H9" s="116">
        <f>SUM(H5:H8)</f>
        <v>63080</v>
      </c>
      <c r="I9" s="116">
        <f>SUM(I5:I8)</f>
        <v>7476180</v>
      </c>
      <c r="K9" s="116">
        <f>SUM(K5:K8)</f>
        <v>360820</v>
      </c>
      <c r="L9" s="116">
        <f>SUM(L5:L8)</f>
        <v>7837000</v>
      </c>
      <c r="N9" s="116">
        <f>SUM(N5:N8)</f>
        <v>48000</v>
      </c>
      <c r="O9" s="116">
        <f>SUM(O5:O8)</f>
        <v>7885000</v>
      </c>
      <c r="Q9" s="116">
        <f>SUM(Q5:Q8)</f>
        <v>-67539</v>
      </c>
      <c r="R9" s="116">
        <f>SUM(R5:R8)</f>
        <v>7817461</v>
      </c>
    </row>
    <row r="10" spans="1:18">
      <c r="H10" s="106"/>
      <c r="I10" s="106"/>
      <c r="K10" s="106"/>
      <c r="L10" s="106"/>
      <c r="N10" s="106"/>
      <c r="O10" s="106"/>
      <c r="Q10" s="106"/>
      <c r="R10" s="106"/>
    </row>
    <row r="11" spans="1:18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416"/>
      <c r="H11" s="114"/>
      <c r="I11" s="114"/>
      <c r="K11" s="114"/>
      <c r="L11" s="114"/>
      <c r="N11" s="114"/>
      <c r="O11" s="114"/>
      <c r="Q11" s="114"/>
      <c r="R11" s="114"/>
    </row>
    <row r="12" spans="1:18">
      <c r="A12" s="105" t="s">
        <v>274</v>
      </c>
      <c r="B12" s="105" t="s">
        <v>275</v>
      </c>
      <c r="C12" s="106">
        <f>Rozpis_Výdaje!DC332</f>
        <v>6251689.0999999996</v>
      </c>
      <c r="D12" s="106">
        <v>7077159</v>
      </c>
      <c r="E12" s="106">
        <f>Rozpis_Výdaje!EI332</f>
        <v>6909647.4500000002</v>
      </c>
      <c r="F12" s="106">
        <f>Rozpis_Výdaje!EK332</f>
        <v>5939880.0999999996</v>
      </c>
      <c r="G12" s="419"/>
      <c r="H12" s="106">
        <f>Rozpis_Výdaje!EM332</f>
        <v>70380</v>
      </c>
      <c r="I12" s="106">
        <f>Rozpis_Výdaje!EN332</f>
        <v>6010260.0999999996</v>
      </c>
      <c r="J12" s="106"/>
      <c r="K12" s="106">
        <f>Rozpis_Výdaje!EP332</f>
        <v>182700</v>
      </c>
      <c r="L12" s="106">
        <f>Rozpis_Výdaje!EQ332</f>
        <v>6192960.0999999996</v>
      </c>
      <c r="N12" s="106">
        <f>Rozpis_Výdaje!FB332</f>
        <v>-13000</v>
      </c>
      <c r="O12" s="106">
        <f>Rozpis_Výdaje!FC332</f>
        <v>6179960.0999999996</v>
      </c>
      <c r="Q12" s="106">
        <f>Rozpis_Výdaje!FK332</f>
        <v>-91519</v>
      </c>
      <c r="R12" s="106">
        <f>Rozpis_Výdaje!FL332</f>
        <v>6088441.0999999996</v>
      </c>
    </row>
    <row r="13" spans="1:18">
      <c r="A13" s="105" t="s">
        <v>276</v>
      </c>
      <c r="B13" s="105" t="s">
        <v>277</v>
      </c>
      <c r="C13" s="106">
        <f>Rozpis_Výdaje!DC335</f>
        <v>539700</v>
      </c>
      <c r="D13" s="106">
        <v>1791241</v>
      </c>
      <c r="E13" s="106">
        <f>Rozpis_Výdaje!EI335</f>
        <v>1491803.66</v>
      </c>
      <c r="F13" s="106">
        <f>Rozpis_Výdaje!EK335</f>
        <v>2258340</v>
      </c>
      <c r="G13" s="419"/>
      <c r="H13" s="106">
        <f>Rozpis_Výdaje!EM335</f>
        <v>-7300</v>
      </c>
      <c r="I13" s="106">
        <f>Rozpis_Výdaje!EN335</f>
        <v>2251040</v>
      </c>
      <c r="J13" s="106"/>
      <c r="K13" s="106">
        <f>Rozpis_Výdaje!EP335</f>
        <v>0</v>
      </c>
      <c r="L13" s="106">
        <f>Rozpis_Výdaje!EQ335</f>
        <v>2251040</v>
      </c>
      <c r="N13" s="106">
        <f>Rozpis_Výdaje!FB335</f>
        <v>61000</v>
      </c>
      <c r="O13" s="106">
        <f>Rozpis_Výdaje!FC335</f>
        <v>2312040</v>
      </c>
      <c r="Q13" s="106">
        <f>Rozpis_Výdaje!FK335</f>
        <v>168400</v>
      </c>
      <c r="R13" s="106">
        <f>Rozpis_Výdaje!FL335</f>
        <v>2480440</v>
      </c>
    </row>
    <row r="14" spans="1:18" s="117" customFormat="1" ht="16.5" thickBot="1">
      <c r="A14" s="115" t="s">
        <v>262</v>
      </c>
      <c r="B14" s="115"/>
      <c r="C14" s="116">
        <f>C12+C13</f>
        <v>6791389.0999999996</v>
      </c>
      <c r="D14" s="116">
        <f>D12+D13</f>
        <v>8868400</v>
      </c>
      <c r="E14" s="116">
        <f>E12+E13</f>
        <v>8401451.1099999994</v>
      </c>
      <c r="F14" s="116">
        <f>F12+F13</f>
        <v>8198220.0999999996</v>
      </c>
      <c r="G14" s="419"/>
      <c r="H14" s="116">
        <f>H12+H13</f>
        <v>63080</v>
      </c>
      <c r="I14" s="116">
        <f>I12+I13</f>
        <v>8261300.0999999996</v>
      </c>
      <c r="J14" s="106"/>
      <c r="K14" s="116">
        <f>K12+K13</f>
        <v>182700</v>
      </c>
      <c r="L14" s="116">
        <f>L12+L13</f>
        <v>8444000.0999999996</v>
      </c>
      <c r="N14" s="116">
        <f>N12+N13</f>
        <v>48000</v>
      </c>
      <c r="O14" s="116">
        <f>O12+O13</f>
        <v>8492000.0999999996</v>
      </c>
      <c r="Q14" s="116">
        <f>Q12+Q13</f>
        <v>76881</v>
      </c>
      <c r="R14" s="116">
        <f>R12+R13</f>
        <v>8568881.0999999996</v>
      </c>
    </row>
    <row r="15" spans="1:18">
      <c r="H15" s="106"/>
      <c r="I15" s="106"/>
      <c r="J15" s="106"/>
      <c r="K15" s="106"/>
      <c r="L15" s="106"/>
      <c r="N15" s="106"/>
      <c r="O15" s="106"/>
      <c r="Q15" s="106"/>
      <c r="R15" s="106"/>
    </row>
    <row r="16" spans="1:18" ht="15.75" thickBot="1">
      <c r="A16" s="107" t="s">
        <v>278</v>
      </c>
      <c r="B16" s="107"/>
      <c r="C16" s="108">
        <f>C9-C14</f>
        <v>244999.79000000004</v>
      </c>
      <c r="D16" s="108">
        <f>D9-D14</f>
        <v>-76358</v>
      </c>
      <c r="E16" s="108">
        <f>E9-E14</f>
        <v>509477.62000000104</v>
      </c>
      <c r="F16" s="108">
        <f>F9-F14</f>
        <v>-785120.09999999963</v>
      </c>
      <c r="G16" s="416"/>
      <c r="H16" s="108">
        <f>H9-H14</f>
        <v>0</v>
      </c>
      <c r="I16" s="108">
        <f>I9-I14</f>
        <v>-785120.09999999963</v>
      </c>
      <c r="J16" s="106"/>
      <c r="K16" s="108">
        <f>K9-K14</f>
        <v>178120</v>
      </c>
      <c r="L16" s="108">
        <f>L9-L14</f>
        <v>-607000.09999999963</v>
      </c>
      <c r="N16" s="108">
        <f>N9-N14</f>
        <v>0</v>
      </c>
      <c r="O16" s="108">
        <f>O9-O14</f>
        <v>-607000.09999999963</v>
      </c>
      <c r="Q16" s="108">
        <f>Q9-Q14</f>
        <v>-144420</v>
      </c>
      <c r="R16" s="108">
        <f>R9-R14</f>
        <v>-751420.09999999963</v>
      </c>
    </row>
    <row r="17" spans="1:18">
      <c r="G17" s="416"/>
      <c r="H17" s="106"/>
      <c r="I17" s="106"/>
      <c r="K17" s="106"/>
      <c r="L17" s="106"/>
      <c r="N17" s="106"/>
      <c r="O17" s="106"/>
      <c r="Q17" s="106"/>
      <c r="R17" s="106"/>
    </row>
    <row r="18" spans="1:18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416"/>
      <c r="H18" s="114"/>
      <c r="I18" s="114"/>
      <c r="K18" s="114"/>
      <c r="L18" s="114"/>
      <c r="N18" s="114"/>
      <c r="O18" s="114"/>
      <c r="Q18" s="114"/>
      <c r="R18" s="114"/>
    </row>
    <row r="19" spans="1:18">
      <c r="A19" s="105" t="s">
        <v>280</v>
      </c>
      <c r="B19" s="105">
        <v>8115</v>
      </c>
      <c r="C19" s="106"/>
      <c r="D19" s="106">
        <v>321358</v>
      </c>
      <c r="E19" s="106"/>
      <c r="F19" s="106">
        <v>1026120</v>
      </c>
      <c r="G19" s="416"/>
      <c r="H19" s="106"/>
      <c r="I19" s="106">
        <v>1026120</v>
      </c>
      <c r="K19" s="106">
        <v>-178120</v>
      </c>
      <c r="L19" s="106">
        <v>848000</v>
      </c>
      <c r="N19" s="106"/>
      <c r="O19" s="106">
        <v>848000</v>
      </c>
      <c r="Q19" s="106">
        <v>144420</v>
      </c>
      <c r="R19" s="106">
        <f>Q19+O19</f>
        <v>992420</v>
      </c>
    </row>
    <row r="20" spans="1:18">
      <c r="A20" s="105" t="s">
        <v>362</v>
      </c>
      <c r="B20" s="105">
        <v>8115</v>
      </c>
      <c r="C20" s="106"/>
      <c r="D20" s="106">
        <v>0</v>
      </c>
      <c r="E20" s="106">
        <v>-268734</v>
      </c>
      <c r="G20" s="416"/>
      <c r="H20" s="106"/>
      <c r="I20" s="106"/>
      <c r="K20" s="106"/>
      <c r="L20" s="106"/>
      <c r="N20" s="106"/>
      <c r="O20" s="106"/>
      <c r="Q20" s="106"/>
      <c r="R20" s="106"/>
    </row>
    <row r="21" spans="1:18">
      <c r="A21" s="105" t="s">
        <v>646</v>
      </c>
      <c r="B21" s="105">
        <v>8117</v>
      </c>
      <c r="C21" s="106"/>
      <c r="D21" s="106">
        <v>900000</v>
      </c>
      <c r="E21" s="106">
        <v>900000</v>
      </c>
      <c r="F21" s="106">
        <v>1000000</v>
      </c>
      <c r="G21" s="416"/>
      <c r="H21" s="106"/>
      <c r="I21" s="106">
        <v>1000000</v>
      </c>
      <c r="K21" s="106"/>
      <c r="L21" s="106">
        <v>1000000</v>
      </c>
      <c r="N21" s="106"/>
      <c r="O21" s="106">
        <v>1000000</v>
      </c>
      <c r="Q21" s="106"/>
      <c r="R21" s="106">
        <v>1000000</v>
      </c>
    </row>
    <row r="22" spans="1:18">
      <c r="A22" s="105" t="s">
        <v>647</v>
      </c>
      <c r="B22" s="105">
        <v>8118</v>
      </c>
      <c r="C22" s="106"/>
      <c r="D22" s="106">
        <v>-900000</v>
      </c>
      <c r="E22" s="106">
        <v>-900000</v>
      </c>
      <c r="F22" s="106">
        <v>-1000000</v>
      </c>
      <c r="G22" s="416"/>
      <c r="I22" s="106">
        <v>-1000000</v>
      </c>
      <c r="K22" s="407"/>
      <c r="L22" s="106">
        <v>-1000000</v>
      </c>
      <c r="N22" s="407"/>
      <c r="O22" s="106">
        <v>-1000000</v>
      </c>
      <c r="Q22" s="407"/>
      <c r="R22" s="106">
        <v>-1000000</v>
      </c>
    </row>
    <row r="23" spans="1:18">
      <c r="A23" s="105" t="s">
        <v>358</v>
      </c>
      <c r="B23" s="105">
        <v>8123</v>
      </c>
      <c r="C23" s="106"/>
      <c r="D23" s="106"/>
      <c r="E23" s="106"/>
      <c r="G23" s="416"/>
      <c r="K23" s="407"/>
      <c r="N23" s="407"/>
      <c r="Q23" s="407"/>
    </row>
    <row r="24" spans="1:18">
      <c r="A24" s="105" t="s">
        <v>577</v>
      </c>
      <c r="B24" s="105">
        <v>8124</v>
      </c>
      <c r="C24" s="106">
        <v>-245000</v>
      </c>
      <c r="D24" s="106">
        <v>-245000</v>
      </c>
      <c r="E24" s="106">
        <v>-240744</v>
      </c>
      <c r="F24" s="106">
        <v>-241000</v>
      </c>
      <c r="G24" s="416"/>
      <c r="H24" s="106">
        <v>0</v>
      </c>
      <c r="I24" s="106">
        <v>-241000</v>
      </c>
      <c r="K24" s="106">
        <v>0</v>
      </c>
      <c r="L24" s="106">
        <v>-241000</v>
      </c>
      <c r="N24" s="106">
        <v>0</v>
      </c>
      <c r="O24" s="106">
        <v>-241000</v>
      </c>
      <c r="Q24" s="106">
        <v>0</v>
      </c>
      <c r="R24" s="106">
        <v>-241000</v>
      </c>
    </row>
    <row r="25" spans="1:18" s="117" customFormat="1" ht="17.25" customHeight="1" thickBot="1">
      <c r="A25" s="115" t="s">
        <v>359</v>
      </c>
      <c r="B25" s="115"/>
      <c r="C25" s="116">
        <f>SUM(C19:C24)</f>
        <v>-245000</v>
      </c>
      <c r="D25" s="116">
        <f t="shared" ref="D25:I25" si="0">SUM(D19:D24)</f>
        <v>76358</v>
      </c>
      <c r="E25" s="116">
        <f t="shared" si="0"/>
        <v>-509478</v>
      </c>
      <c r="F25" s="116">
        <f t="shared" si="0"/>
        <v>785120</v>
      </c>
      <c r="G25" s="416"/>
      <c r="H25" s="116">
        <f t="shared" si="0"/>
        <v>0</v>
      </c>
      <c r="I25" s="116">
        <f t="shared" si="0"/>
        <v>785120</v>
      </c>
      <c r="K25" s="116">
        <f t="shared" ref="K25:L25" si="1">SUM(K19:K24)</f>
        <v>-178120</v>
      </c>
      <c r="L25" s="116">
        <f t="shared" si="1"/>
        <v>607000</v>
      </c>
      <c r="N25" s="116">
        <f t="shared" ref="N25:O25" si="2">SUM(N19:N24)</f>
        <v>0</v>
      </c>
      <c r="O25" s="116">
        <f t="shared" si="2"/>
        <v>607000</v>
      </c>
      <c r="Q25" s="116">
        <f>SUM(Q19:Q24)</f>
        <v>144420</v>
      </c>
      <c r="R25" s="116">
        <f>SUM(R19:R24)</f>
        <v>751420</v>
      </c>
    </row>
    <row r="26" spans="1:18">
      <c r="H26" s="106"/>
      <c r="I26" s="106"/>
      <c r="K26" s="106"/>
      <c r="L26" s="106"/>
      <c r="N26" s="106"/>
      <c r="O26" s="106"/>
      <c r="Q26" s="106"/>
      <c r="R26" s="106"/>
    </row>
    <row r="27" spans="1:18" ht="15.75" thickBot="1">
      <c r="A27" s="109" t="s">
        <v>360</v>
      </c>
      <c r="B27" s="109"/>
      <c r="C27" s="110">
        <f>C9-C14+C25</f>
        <v>-0.2099999999627471</v>
      </c>
      <c r="D27" s="110">
        <f>D9-D14+D25</f>
        <v>0</v>
      </c>
      <c r="E27" s="110">
        <f>E9-E14+E25</f>
        <v>-0.37999999895691872</v>
      </c>
      <c r="F27" s="110">
        <f>F9-F14+F25</f>
        <v>-9.999999962747097E-2</v>
      </c>
      <c r="H27" s="110">
        <f>H9-H14+H25</f>
        <v>0</v>
      </c>
      <c r="I27" s="110">
        <f>I9-I14+I25</f>
        <v>-9.999999962747097E-2</v>
      </c>
      <c r="K27" s="110">
        <f>K9-K14+K25</f>
        <v>0</v>
      </c>
      <c r="L27" s="110">
        <f>L9-L14+L25</f>
        <v>-9.999999962747097E-2</v>
      </c>
      <c r="N27" s="110">
        <f>N9-N14+N25</f>
        <v>0</v>
      </c>
      <c r="O27" s="110">
        <f>O9-O14+O25</f>
        <v>-9.999999962747097E-2</v>
      </c>
      <c r="Q27" s="110">
        <f>Q9-Q14+Q25</f>
        <v>0</v>
      </c>
      <c r="R27" s="110">
        <f>R9-R14+R25</f>
        <v>-9.999999962747097E-2</v>
      </c>
    </row>
    <row r="28" spans="1:18">
      <c r="D28" s="105" t="s">
        <v>457</v>
      </c>
    </row>
    <row r="29" spans="1:18">
      <c r="A29" s="104" t="s">
        <v>660</v>
      </c>
      <c r="B29" s="132"/>
      <c r="E29" s="104" t="s">
        <v>661</v>
      </c>
    </row>
    <row r="30" spans="1:18">
      <c r="A30" s="104" t="s">
        <v>662</v>
      </c>
      <c r="B30" s="132"/>
      <c r="E30" s="104" t="s">
        <v>663</v>
      </c>
      <c r="G30" s="105"/>
      <c r="N30" s="219"/>
      <c r="Q30" s="219" t="s">
        <v>461</v>
      </c>
    </row>
    <row r="31" spans="1:18">
      <c r="A31" s="104" t="s">
        <v>668</v>
      </c>
      <c r="B31" s="132"/>
      <c r="E31" s="104" t="s">
        <v>669</v>
      </c>
      <c r="G31" s="219"/>
      <c r="N31" s="219"/>
      <c r="Q31" s="219" t="s">
        <v>462</v>
      </c>
    </row>
    <row r="32" spans="1:18">
      <c r="A32" s="104" t="s">
        <v>675</v>
      </c>
      <c r="B32" s="132"/>
      <c r="E32" s="104" t="s">
        <v>676</v>
      </c>
      <c r="G32" s="219"/>
      <c r="N32" s="219"/>
      <c r="Q32" s="219"/>
    </row>
    <row r="33" spans="1:5">
      <c r="A33" s="104" t="s">
        <v>684</v>
      </c>
      <c r="B33" s="132"/>
      <c r="E33" s="104" t="s">
        <v>685</v>
      </c>
    </row>
    <row r="34" spans="1:5">
      <c r="A34" s="104"/>
    </row>
    <row r="35" spans="1:5">
      <c r="A35" s="104"/>
    </row>
    <row r="36" spans="1:5">
      <c r="A36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6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7C558-8F2E-4B08-B8E6-2D2DF6A60744}">
  <sheetPr>
    <tabColor rgb="FFFFFF00"/>
    <pageSetUpPr fitToPage="1"/>
  </sheetPr>
  <dimension ref="A1:O34"/>
  <sheetViews>
    <sheetView topLeftCell="H3" workbookViewId="0">
      <selection activeCell="A29" sqref="A29"/>
    </sheetView>
  </sheetViews>
  <sheetFormatPr defaultColWidth="9.140625" defaultRowHeight="15" outlineLevelCol="1"/>
  <cols>
    <col min="1" max="1" width="35.7109375" style="105" customWidth="1"/>
    <col min="2" max="2" width="10.85546875" style="105" customWidth="1"/>
    <col min="3" max="3" width="19.28515625" style="105" customWidth="1"/>
    <col min="4" max="5" width="18.28515625" style="105" customWidth="1"/>
    <col min="6" max="6" width="17.7109375" style="106" customWidth="1"/>
    <col min="7" max="7" width="2.7109375" style="413" customWidth="1"/>
    <col min="8" max="8" width="14.7109375" style="407" customWidth="1" outlineLevel="1"/>
    <col min="9" max="9" width="13.7109375" style="105" customWidth="1" outlineLevel="1"/>
    <col min="10" max="10" width="3.28515625" style="105" customWidth="1" outlineLevel="1"/>
    <col min="11" max="11" width="14" style="105" customWidth="1" outlineLevel="1"/>
    <col min="12" max="12" width="14.85546875" style="105" customWidth="1" outlineLevel="1"/>
    <col min="13" max="13" width="2.5703125" style="105" customWidth="1" outlineLevel="1"/>
    <col min="14" max="14" width="14" style="105" customWidth="1"/>
    <col min="15" max="15" width="14.85546875" style="105" customWidth="1"/>
    <col min="16" max="16384" width="9.140625" style="105"/>
  </cols>
  <sheetData>
    <row r="1" spans="1:15">
      <c r="F1" s="105"/>
      <c r="G1" s="104"/>
      <c r="H1" s="104"/>
    </row>
    <row r="2" spans="1:15" ht="23.25">
      <c r="A2" s="431" t="s">
        <v>656</v>
      </c>
      <c r="B2" s="431"/>
      <c r="C2" s="431"/>
      <c r="D2" s="431"/>
      <c r="E2" s="431"/>
      <c r="F2" s="431"/>
      <c r="G2" s="406"/>
    </row>
    <row r="3" spans="1:15" ht="15.75">
      <c r="H3" s="117" t="s">
        <v>469</v>
      </c>
      <c r="I3" s="117"/>
      <c r="K3" s="117" t="s">
        <v>478</v>
      </c>
      <c r="L3" s="117"/>
      <c r="N3" s="117" t="s">
        <v>482</v>
      </c>
      <c r="O3" s="117"/>
    </row>
    <row r="4" spans="1:15" ht="45">
      <c r="A4" s="111" t="s">
        <v>263</v>
      </c>
      <c r="B4" s="111" t="s">
        <v>5</v>
      </c>
      <c r="C4" s="112" t="s">
        <v>640</v>
      </c>
      <c r="D4" s="112" t="s">
        <v>641</v>
      </c>
      <c r="E4" s="112" t="s">
        <v>642</v>
      </c>
      <c r="F4" s="113" t="s">
        <v>657</v>
      </c>
      <c r="G4" s="418"/>
      <c r="H4" s="222" t="s">
        <v>472</v>
      </c>
      <c r="I4" s="222" t="s">
        <v>473</v>
      </c>
      <c r="K4" s="222" t="s">
        <v>472</v>
      </c>
      <c r="L4" s="222" t="s">
        <v>473</v>
      </c>
      <c r="N4" s="222" t="s">
        <v>472</v>
      </c>
      <c r="O4" s="222" t="s">
        <v>473</v>
      </c>
    </row>
    <row r="5" spans="1:15">
      <c r="A5" s="105" t="s">
        <v>265</v>
      </c>
      <c r="B5" s="105" t="s">
        <v>266</v>
      </c>
      <c r="C5" s="106">
        <f>Rozpis_Příjmy!CR22</f>
        <v>6126400</v>
      </c>
      <c r="D5" s="106">
        <f>Rozpis_Příjmy!DQ22</f>
        <v>6154752</v>
      </c>
      <c r="E5" s="106">
        <f>Rozpis_Příjmy!DS22</f>
        <v>6279896.7999999998</v>
      </c>
      <c r="F5" s="106">
        <f>Rozpis_Příjmy!DU22</f>
        <v>6763000</v>
      </c>
      <c r="G5" s="419"/>
      <c r="H5" s="106">
        <f>Rozpis_Příjmy!DW22</f>
        <v>63080</v>
      </c>
      <c r="I5" s="106">
        <f>Rozpis_Příjmy!DX22</f>
        <v>6826080</v>
      </c>
      <c r="J5" s="106"/>
      <c r="K5" s="106">
        <f>Rozpis_Příjmy!DZ22</f>
        <v>4500</v>
      </c>
      <c r="L5" s="106">
        <f>Rozpis_Příjmy!EA22</f>
        <v>6830580</v>
      </c>
      <c r="N5" s="106">
        <f>Rozpis_Příjmy!EC22</f>
        <v>0</v>
      </c>
      <c r="O5" s="106">
        <f>Rozpis_Příjmy!ED22</f>
        <v>6830580</v>
      </c>
    </row>
    <row r="6" spans="1:15">
      <c r="A6" s="105" t="s">
        <v>267</v>
      </c>
      <c r="B6" s="105" t="s">
        <v>268</v>
      </c>
      <c r="C6" s="106">
        <f>Rozpis_Příjmy!CR111</f>
        <v>514800</v>
      </c>
      <c r="D6" s="106">
        <f>Rozpis_Příjmy!DQ111</f>
        <v>821750</v>
      </c>
      <c r="E6" s="106">
        <f>Rozpis_Příjmy!DS111</f>
        <v>801065.93</v>
      </c>
      <c r="F6" s="106">
        <f>Rozpis_Příjmy!DU111</f>
        <v>430400</v>
      </c>
      <c r="G6" s="419"/>
      <c r="H6" s="106">
        <f>Rozpis_Příjmy!DW111</f>
        <v>0</v>
      </c>
      <c r="I6" s="106">
        <f>Rozpis_Příjmy!DX111</f>
        <v>430400</v>
      </c>
      <c r="K6" s="106">
        <f>Rozpis_Příjmy!DZ111</f>
        <v>283820</v>
      </c>
      <c r="L6" s="106">
        <f>Rozpis_Příjmy!EA111</f>
        <v>714220</v>
      </c>
      <c r="N6" s="106">
        <f>Rozpis_Příjmy!EC111</f>
        <v>0</v>
      </c>
      <c r="O6" s="106">
        <f>Rozpis_Příjmy!ED111</f>
        <v>714220</v>
      </c>
    </row>
    <row r="7" spans="1:15">
      <c r="A7" s="105" t="s">
        <v>269</v>
      </c>
      <c r="B7" s="105" t="s">
        <v>270</v>
      </c>
      <c r="C7" s="106">
        <f>Rozpis_Příjmy!CR89</f>
        <v>30000</v>
      </c>
      <c r="D7" s="106">
        <f>Rozpis_Příjmy!DQ89</f>
        <v>191500</v>
      </c>
      <c r="E7" s="106">
        <f>Rozpis_Příjmy!DS89</f>
        <v>205926</v>
      </c>
      <c r="F7" s="106">
        <f>Rozpis_Příjmy!DU89</f>
        <v>40000</v>
      </c>
      <c r="G7" s="419"/>
      <c r="H7" s="106">
        <f>Rozpis_Příjmy!DW89</f>
        <v>0</v>
      </c>
      <c r="I7" s="106">
        <f>Rozpis_Příjmy!DX89</f>
        <v>40000</v>
      </c>
      <c r="K7" s="106">
        <f>Rozpis_Příjmy!DZ89</f>
        <v>0</v>
      </c>
      <c r="L7" s="106">
        <f>Rozpis_Příjmy!EA89</f>
        <v>40000</v>
      </c>
      <c r="N7" s="106">
        <f>Rozpis_Příjmy!EC89</f>
        <v>0</v>
      </c>
      <c r="O7" s="106">
        <f>Rozpis_Příjmy!ED89</f>
        <v>40000</v>
      </c>
    </row>
    <row r="8" spans="1:15">
      <c r="A8" s="105" t="s">
        <v>271</v>
      </c>
      <c r="B8" s="105" t="s">
        <v>272</v>
      </c>
      <c r="C8" s="106">
        <f>Rozpis_Příjmy!CR33</f>
        <v>365188.89</v>
      </c>
      <c r="D8" s="106">
        <v>1624040</v>
      </c>
      <c r="E8" s="106">
        <f>Rozpis_Příjmy!DS33</f>
        <v>1624040</v>
      </c>
      <c r="F8" s="106">
        <f>Rozpis_Příjmy!DU33</f>
        <v>179700</v>
      </c>
      <c r="G8" s="419"/>
      <c r="H8" s="106">
        <f>Rozpis_Příjmy!DW33</f>
        <v>0</v>
      </c>
      <c r="I8" s="106">
        <f>Rozpis_Příjmy!DX33</f>
        <v>179700</v>
      </c>
      <c r="K8" s="106">
        <f>Rozpis_Příjmy!DZ33</f>
        <v>72500</v>
      </c>
      <c r="L8" s="106">
        <f>Rozpis_Příjmy!EA33</f>
        <v>252200</v>
      </c>
      <c r="N8" s="106">
        <f>Rozpis_Příjmy!EC33</f>
        <v>48000</v>
      </c>
      <c r="O8" s="106">
        <f>Rozpis_Příjmy!ED33</f>
        <v>300200</v>
      </c>
    </row>
    <row r="9" spans="1:15" s="117" customFormat="1" ht="16.5" thickBot="1">
      <c r="A9" s="115" t="s">
        <v>261</v>
      </c>
      <c r="B9" s="115"/>
      <c r="C9" s="116">
        <f>SUM(C5:C8)</f>
        <v>7036388.8899999997</v>
      </c>
      <c r="D9" s="116">
        <f>SUM(D5:D8)</f>
        <v>8792042</v>
      </c>
      <c r="E9" s="116">
        <f>SUM(E5:E8)</f>
        <v>8910928.7300000004</v>
      </c>
      <c r="F9" s="116">
        <f>SUM(F5:F8)</f>
        <v>7413100</v>
      </c>
      <c r="G9" s="419"/>
      <c r="H9" s="116">
        <f>SUM(H5:H8)</f>
        <v>63080</v>
      </c>
      <c r="I9" s="116">
        <f>SUM(I5:I8)</f>
        <v>7476180</v>
      </c>
      <c r="K9" s="116">
        <f>SUM(K5:K8)</f>
        <v>360820</v>
      </c>
      <c r="L9" s="116">
        <f>SUM(L5:L8)</f>
        <v>7837000</v>
      </c>
      <c r="N9" s="116">
        <f>SUM(N5:N8)</f>
        <v>48000</v>
      </c>
      <c r="O9" s="116">
        <f>SUM(O5:O8)</f>
        <v>7885000</v>
      </c>
    </row>
    <row r="10" spans="1:15">
      <c r="H10" s="106"/>
      <c r="I10" s="106"/>
      <c r="K10" s="106"/>
      <c r="L10" s="106"/>
      <c r="N10" s="106"/>
      <c r="O10" s="106"/>
    </row>
    <row r="11" spans="1:15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416"/>
      <c r="H11" s="114"/>
      <c r="I11" s="114"/>
      <c r="K11" s="114"/>
      <c r="L11" s="114"/>
      <c r="N11" s="114"/>
      <c r="O11" s="114"/>
    </row>
    <row r="12" spans="1:15">
      <c r="A12" s="105" t="s">
        <v>274</v>
      </c>
      <c r="B12" s="105" t="s">
        <v>275</v>
      </c>
      <c r="C12" s="106">
        <f>Rozpis_Výdaje!DC332</f>
        <v>6251689.0999999996</v>
      </c>
      <c r="D12" s="106">
        <v>7077159</v>
      </c>
      <c r="E12" s="106">
        <f>Rozpis_Výdaje!EI332</f>
        <v>6909647.4500000002</v>
      </c>
      <c r="F12" s="106">
        <f>Rozpis_Výdaje!EK332</f>
        <v>5939880.0999999996</v>
      </c>
      <c r="G12" s="419"/>
      <c r="H12" s="106">
        <f>Rozpis_Výdaje!EM332</f>
        <v>70380</v>
      </c>
      <c r="I12" s="106">
        <f>Rozpis_Výdaje!EN332</f>
        <v>6010260.0999999996</v>
      </c>
      <c r="J12" s="106"/>
      <c r="K12" s="106">
        <f>Rozpis_Výdaje!EP332</f>
        <v>182700</v>
      </c>
      <c r="L12" s="106">
        <f>Rozpis_Výdaje!EQ332</f>
        <v>6192960.0999999996</v>
      </c>
      <c r="N12" s="106">
        <f>Rozpis_Výdaje!FB332</f>
        <v>-13000</v>
      </c>
      <c r="O12" s="106">
        <f>Rozpis_Výdaje!FC332</f>
        <v>6179960.0999999996</v>
      </c>
    </row>
    <row r="13" spans="1:15">
      <c r="A13" s="105" t="s">
        <v>276</v>
      </c>
      <c r="B13" s="105" t="s">
        <v>277</v>
      </c>
      <c r="C13" s="106">
        <f>Rozpis_Výdaje!DC335</f>
        <v>539700</v>
      </c>
      <c r="D13" s="106">
        <v>1791241</v>
      </c>
      <c r="E13" s="106">
        <f>Rozpis_Výdaje!EI335</f>
        <v>1491803.66</v>
      </c>
      <c r="F13" s="106">
        <f>Rozpis_Výdaje!EK335</f>
        <v>2258340</v>
      </c>
      <c r="G13" s="419"/>
      <c r="H13" s="106">
        <f>Rozpis_Výdaje!EM335</f>
        <v>-7300</v>
      </c>
      <c r="I13" s="106">
        <f>Rozpis_Výdaje!EN335</f>
        <v>2251040</v>
      </c>
      <c r="J13" s="106"/>
      <c r="K13" s="106">
        <f>Rozpis_Výdaje!EP335</f>
        <v>0</v>
      </c>
      <c r="L13" s="106">
        <f>Rozpis_Výdaje!EQ335</f>
        <v>2251040</v>
      </c>
      <c r="N13" s="106">
        <f>Rozpis_Výdaje!FB335</f>
        <v>61000</v>
      </c>
      <c r="O13" s="106">
        <f>Rozpis_Výdaje!FC335</f>
        <v>2312040</v>
      </c>
    </row>
    <row r="14" spans="1:15" s="117" customFormat="1" ht="16.5" thickBot="1">
      <c r="A14" s="115" t="s">
        <v>262</v>
      </c>
      <c r="B14" s="115"/>
      <c r="C14" s="116">
        <f>C12+C13</f>
        <v>6791389.0999999996</v>
      </c>
      <c r="D14" s="116">
        <f>D12+D13</f>
        <v>8868400</v>
      </c>
      <c r="E14" s="116">
        <f>E12+E13</f>
        <v>8401451.1099999994</v>
      </c>
      <c r="F14" s="116">
        <f>F12+F13</f>
        <v>8198220.0999999996</v>
      </c>
      <c r="G14" s="419"/>
      <c r="H14" s="116">
        <f>H12+H13</f>
        <v>63080</v>
      </c>
      <c r="I14" s="116">
        <f>I12+I13</f>
        <v>8261300.0999999996</v>
      </c>
      <c r="J14" s="106"/>
      <c r="K14" s="116">
        <f>K12+K13</f>
        <v>182700</v>
      </c>
      <c r="L14" s="116">
        <f>L12+L13</f>
        <v>8444000.0999999996</v>
      </c>
      <c r="N14" s="116">
        <f>N12+N13</f>
        <v>48000</v>
      </c>
      <c r="O14" s="116">
        <f>O12+O13</f>
        <v>8492000.0999999996</v>
      </c>
    </row>
    <row r="15" spans="1:15">
      <c r="H15" s="106"/>
      <c r="I15" s="106"/>
      <c r="J15" s="106"/>
      <c r="K15" s="106"/>
      <c r="L15" s="106"/>
      <c r="N15" s="106"/>
      <c r="O15" s="106"/>
    </row>
    <row r="16" spans="1:15" ht="15.75" thickBot="1">
      <c r="A16" s="107" t="s">
        <v>278</v>
      </c>
      <c r="B16" s="107"/>
      <c r="C16" s="108">
        <f>C9-C14</f>
        <v>244999.79000000004</v>
      </c>
      <c r="D16" s="108">
        <f>D9-D14</f>
        <v>-76358</v>
      </c>
      <c r="E16" s="108">
        <f>E9-E14</f>
        <v>509477.62000000104</v>
      </c>
      <c r="F16" s="108">
        <f>F9-F14</f>
        <v>-785120.09999999963</v>
      </c>
      <c r="G16" s="416"/>
      <c r="H16" s="108">
        <f>H9-H14</f>
        <v>0</v>
      </c>
      <c r="I16" s="108">
        <f>I9-I14</f>
        <v>-785120.09999999963</v>
      </c>
      <c r="J16" s="106"/>
      <c r="K16" s="108">
        <f>K9-K14</f>
        <v>178120</v>
      </c>
      <c r="L16" s="108">
        <f>L9-L14</f>
        <v>-607000.09999999963</v>
      </c>
      <c r="N16" s="108">
        <f>N9-N14</f>
        <v>0</v>
      </c>
      <c r="O16" s="108">
        <f>O9-O14</f>
        <v>-607000.09999999963</v>
      </c>
    </row>
    <row r="17" spans="1:15">
      <c r="G17" s="416"/>
      <c r="H17" s="106"/>
      <c r="I17" s="106"/>
      <c r="K17" s="106"/>
      <c r="L17" s="106"/>
      <c r="N17" s="106"/>
      <c r="O17" s="106"/>
    </row>
    <row r="18" spans="1:15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416"/>
      <c r="H18" s="114"/>
      <c r="I18" s="114"/>
      <c r="K18" s="114"/>
      <c r="L18" s="114"/>
      <c r="N18" s="114"/>
      <c r="O18" s="114"/>
    </row>
    <row r="19" spans="1:15">
      <c r="A19" s="105" t="s">
        <v>280</v>
      </c>
      <c r="B19" s="105">
        <v>8115</v>
      </c>
      <c r="C19" s="106"/>
      <c r="D19" s="106">
        <v>321358</v>
      </c>
      <c r="E19" s="106"/>
      <c r="F19" s="106">
        <v>1026120</v>
      </c>
      <c r="G19" s="416"/>
      <c r="H19" s="106"/>
      <c r="I19" s="106">
        <v>1026120</v>
      </c>
      <c r="K19" s="106">
        <v>-178120</v>
      </c>
      <c r="L19" s="106">
        <v>848000</v>
      </c>
      <c r="N19" s="106"/>
      <c r="O19" s="106">
        <v>848000</v>
      </c>
    </row>
    <row r="20" spans="1:15">
      <c r="A20" s="105" t="s">
        <v>362</v>
      </c>
      <c r="B20" s="105">
        <v>8115</v>
      </c>
      <c r="C20" s="106"/>
      <c r="D20" s="106">
        <v>0</v>
      </c>
      <c r="E20" s="106">
        <v>-268734</v>
      </c>
      <c r="G20" s="416"/>
      <c r="H20" s="106"/>
      <c r="I20" s="106"/>
      <c r="K20" s="106"/>
      <c r="L20" s="106"/>
      <c r="N20" s="106"/>
      <c r="O20" s="106"/>
    </row>
    <row r="21" spans="1:15">
      <c r="A21" s="105" t="s">
        <v>646</v>
      </c>
      <c r="B21" s="105">
        <v>8117</v>
      </c>
      <c r="C21" s="106"/>
      <c r="D21" s="106">
        <v>900000</v>
      </c>
      <c r="E21" s="106">
        <v>900000</v>
      </c>
      <c r="F21" s="106">
        <v>1000000</v>
      </c>
      <c r="G21" s="416"/>
      <c r="H21" s="106"/>
      <c r="I21" s="106">
        <v>1000000</v>
      </c>
      <c r="K21" s="106"/>
      <c r="L21" s="106">
        <v>1000000</v>
      </c>
      <c r="N21" s="106"/>
      <c r="O21" s="106">
        <v>1000000</v>
      </c>
    </row>
    <row r="22" spans="1:15">
      <c r="A22" s="105" t="s">
        <v>647</v>
      </c>
      <c r="B22" s="105">
        <v>8118</v>
      </c>
      <c r="C22" s="106"/>
      <c r="D22" s="106">
        <v>-900000</v>
      </c>
      <c r="E22" s="106">
        <v>-900000</v>
      </c>
      <c r="F22" s="106">
        <v>-1000000</v>
      </c>
      <c r="G22" s="416"/>
      <c r="I22" s="106">
        <v>-1000000</v>
      </c>
      <c r="K22" s="407"/>
      <c r="L22" s="106">
        <v>-1000000</v>
      </c>
      <c r="N22" s="407"/>
      <c r="O22" s="106">
        <v>-1000000</v>
      </c>
    </row>
    <row r="23" spans="1:15">
      <c r="A23" s="105" t="s">
        <v>358</v>
      </c>
      <c r="B23" s="105">
        <v>8123</v>
      </c>
      <c r="C23" s="106"/>
      <c r="D23" s="106"/>
      <c r="E23" s="106"/>
      <c r="G23" s="416"/>
      <c r="K23" s="407"/>
      <c r="N23" s="407"/>
    </row>
    <row r="24" spans="1:15">
      <c r="A24" s="105" t="s">
        <v>577</v>
      </c>
      <c r="B24" s="105">
        <v>8124</v>
      </c>
      <c r="C24" s="106">
        <v>-245000</v>
      </c>
      <c r="D24" s="106">
        <v>-245000</v>
      </c>
      <c r="E24" s="106">
        <v>-240744</v>
      </c>
      <c r="F24" s="106">
        <v>-241000</v>
      </c>
      <c r="G24" s="416"/>
      <c r="H24" s="106">
        <v>0</v>
      </c>
      <c r="I24" s="106">
        <v>-241000</v>
      </c>
      <c r="K24" s="106">
        <v>0</v>
      </c>
      <c r="L24" s="106">
        <v>-241000</v>
      </c>
      <c r="N24" s="106">
        <v>0</v>
      </c>
      <c r="O24" s="106">
        <v>-241000</v>
      </c>
    </row>
    <row r="25" spans="1:15" s="117" customFormat="1" ht="17.25" customHeight="1" thickBot="1">
      <c r="A25" s="115" t="s">
        <v>359</v>
      </c>
      <c r="B25" s="115"/>
      <c r="C25" s="116">
        <f>SUM(C19:C24)</f>
        <v>-245000</v>
      </c>
      <c r="D25" s="116">
        <f t="shared" ref="D25:I25" si="0">SUM(D19:D24)</f>
        <v>76358</v>
      </c>
      <c r="E25" s="116">
        <f t="shared" si="0"/>
        <v>-509478</v>
      </c>
      <c r="F25" s="116">
        <f t="shared" si="0"/>
        <v>785120</v>
      </c>
      <c r="G25" s="416"/>
      <c r="H25" s="116">
        <f t="shared" si="0"/>
        <v>0</v>
      </c>
      <c r="I25" s="116">
        <f t="shared" si="0"/>
        <v>785120</v>
      </c>
      <c r="K25" s="116">
        <f t="shared" ref="K25:L25" si="1">SUM(K19:K24)</f>
        <v>-178120</v>
      </c>
      <c r="L25" s="116">
        <f t="shared" si="1"/>
        <v>607000</v>
      </c>
      <c r="N25" s="116">
        <f t="shared" ref="N25:O25" si="2">SUM(N19:N24)</f>
        <v>0</v>
      </c>
      <c r="O25" s="116">
        <f t="shared" si="2"/>
        <v>607000</v>
      </c>
    </row>
    <row r="26" spans="1:15">
      <c r="H26" s="106"/>
      <c r="I26" s="106"/>
      <c r="K26" s="106"/>
      <c r="L26" s="106"/>
      <c r="N26" s="106"/>
      <c r="O26" s="106"/>
    </row>
    <row r="27" spans="1:15" ht="15.75" thickBot="1">
      <c r="A27" s="109" t="s">
        <v>360</v>
      </c>
      <c r="B27" s="109"/>
      <c r="C27" s="110">
        <f>C9-C14+C25</f>
        <v>-0.2099999999627471</v>
      </c>
      <c r="D27" s="110">
        <f>D9-D14+D25</f>
        <v>0</v>
      </c>
      <c r="E27" s="110">
        <f>E9-E14+E25</f>
        <v>-0.37999999895691872</v>
      </c>
      <c r="F27" s="110">
        <f>F9-F14+F25</f>
        <v>-9.999999962747097E-2</v>
      </c>
      <c r="H27" s="110">
        <f>H9-H14+H25</f>
        <v>0</v>
      </c>
      <c r="I27" s="110">
        <f>I9-I14+I25</f>
        <v>-9.999999962747097E-2</v>
      </c>
      <c r="K27" s="110">
        <f>K9-K14+K25</f>
        <v>0</v>
      </c>
      <c r="L27" s="110">
        <f>L9-L14+L25</f>
        <v>-9.999999962747097E-2</v>
      </c>
      <c r="N27" s="110">
        <f>N9-N14+N25</f>
        <v>0</v>
      </c>
      <c r="O27" s="110">
        <f>O9-O14+O25</f>
        <v>-9.999999962747097E-2</v>
      </c>
    </row>
    <row r="28" spans="1:15">
      <c r="D28" s="105" t="s">
        <v>457</v>
      </c>
    </row>
    <row r="29" spans="1:15">
      <c r="A29" s="104" t="s">
        <v>660</v>
      </c>
      <c r="B29" s="132"/>
      <c r="E29" s="104" t="s">
        <v>661</v>
      </c>
    </row>
    <row r="30" spans="1:15">
      <c r="A30" s="104" t="s">
        <v>662</v>
      </c>
      <c r="B30" s="132"/>
      <c r="E30" s="104" t="s">
        <v>663</v>
      </c>
      <c r="G30" s="105"/>
      <c r="N30" s="219" t="s">
        <v>461</v>
      </c>
    </row>
    <row r="31" spans="1:15">
      <c r="A31" s="104" t="s">
        <v>668</v>
      </c>
      <c r="B31" s="132"/>
      <c r="E31" s="104" t="s">
        <v>669</v>
      </c>
      <c r="G31" s="219"/>
      <c r="N31" s="219" t="s">
        <v>462</v>
      </c>
    </row>
    <row r="32" spans="1:15">
      <c r="A32" s="104" t="s">
        <v>675</v>
      </c>
      <c r="B32" s="132"/>
      <c r="E32" s="104" t="s">
        <v>676</v>
      </c>
      <c r="G32" s="219"/>
      <c r="N32" s="219"/>
    </row>
    <row r="33" spans="1:1">
      <c r="A33" s="104"/>
    </row>
    <row r="34" spans="1:1">
      <c r="A34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7D4E-C9E4-4A34-98B8-70F66E2B1A3A}">
  <sheetPr>
    <tabColor rgb="FFFFFF00"/>
    <pageSetUpPr fitToPage="1"/>
  </sheetPr>
  <dimension ref="A1:L33"/>
  <sheetViews>
    <sheetView topLeftCell="E1" workbookViewId="0">
      <selection activeCell="A29" sqref="A29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3" width="19.28515625" style="105" customWidth="1"/>
    <col min="4" max="5" width="18.28515625" style="105" customWidth="1"/>
    <col min="6" max="6" width="18.28515625" style="106" customWidth="1"/>
    <col min="7" max="7" width="2.7109375" style="413" customWidth="1"/>
    <col min="8" max="8" width="14.7109375" style="407" customWidth="1"/>
    <col min="9" max="9" width="13.7109375" style="105" customWidth="1"/>
    <col min="10" max="10" width="3.28515625" style="105" customWidth="1"/>
    <col min="11" max="11" width="14" style="105" customWidth="1"/>
    <col min="12" max="12" width="14.85546875" style="105" customWidth="1"/>
    <col min="13" max="16384" width="9.140625" style="105"/>
  </cols>
  <sheetData>
    <row r="1" spans="1:12">
      <c r="F1" s="105"/>
      <c r="G1" s="104"/>
      <c r="H1" s="104"/>
    </row>
    <row r="2" spans="1:12" ht="23.25">
      <c r="A2" s="431" t="s">
        <v>656</v>
      </c>
      <c r="B2" s="431"/>
      <c r="C2" s="431"/>
      <c r="D2" s="431"/>
      <c r="E2" s="431"/>
      <c r="F2" s="431"/>
      <c r="G2" s="406"/>
    </row>
    <row r="3" spans="1:12" ht="15.75">
      <c r="H3" s="117" t="s">
        <v>469</v>
      </c>
      <c r="I3" s="117"/>
      <c r="K3" s="117" t="s">
        <v>478</v>
      </c>
      <c r="L3" s="117"/>
    </row>
    <row r="4" spans="1:12" ht="45">
      <c r="A4" s="111" t="s">
        <v>263</v>
      </c>
      <c r="B4" s="111" t="s">
        <v>5</v>
      </c>
      <c r="C4" s="112" t="s">
        <v>640</v>
      </c>
      <c r="D4" s="112" t="s">
        <v>641</v>
      </c>
      <c r="E4" s="112" t="s">
        <v>642</v>
      </c>
      <c r="F4" s="113" t="s">
        <v>657</v>
      </c>
      <c r="G4" s="418"/>
      <c r="H4" s="222" t="s">
        <v>472</v>
      </c>
      <c r="I4" s="222" t="s">
        <v>473</v>
      </c>
      <c r="K4" s="222" t="s">
        <v>472</v>
      </c>
      <c r="L4" s="222" t="s">
        <v>473</v>
      </c>
    </row>
    <row r="5" spans="1:12">
      <c r="A5" s="105" t="s">
        <v>265</v>
      </c>
      <c r="B5" s="105" t="s">
        <v>266</v>
      </c>
      <c r="C5" s="106">
        <f>Rozpis_Příjmy!CR22</f>
        <v>6126400</v>
      </c>
      <c r="D5" s="106">
        <f>Rozpis_Příjmy!DQ22</f>
        <v>6154752</v>
      </c>
      <c r="E5" s="106">
        <f>Rozpis_Příjmy!DS22</f>
        <v>6279896.7999999998</v>
      </c>
      <c r="F5" s="106">
        <f>Rozpis_Příjmy!DU22</f>
        <v>6763000</v>
      </c>
      <c r="G5" s="419"/>
      <c r="H5" s="106">
        <f>Rozpis_Příjmy!DW22</f>
        <v>63080</v>
      </c>
      <c r="I5" s="106">
        <f>Rozpis_Příjmy!DX22</f>
        <v>6826080</v>
      </c>
      <c r="J5" s="106"/>
      <c r="K5" s="106">
        <f>Rozpis_Příjmy!DZ22</f>
        <v>4500</v>
      </c>
      <c r="L5" s="106">
        <f>Rozpis_Příjmy!EA22</f>
        <v>6830580</v>
      </c>
    </row>
    <row r="6" spans="1:12">
      <c r="A6" s="105" t="s">
        <v>267</v>
      </c>
      <c r="B6" s="105" t="s">
        <v>268</v>
      </c>
      <c r="C6" s="106">
        <f>Rozpis_Příjmy!CR111</f>
        <v>514800</v>
      </c>
      <c r="D6" s="106">
        <f>Rozpis_Příjmy!DQ111</f>
        <v>821750</v>
      </c>
      <c r="E6" s="106">
        <f>Rozpis_Příjmy!DS111</f>
        <v>801065.93</v>
      </c>
      <c r="F6" s="106">
        <f>Rozpis_Příjmy!DU111</f>
        <v>430400</v>
      </c>
      <c r="G6" s="419"/>
      <c r="H6" s="106">
        <f>Rozpis_Příjmy!DW111</f>
        <v>0</v>
      </c>
      <c r="I6" s="106">
        <f>Rozpis_Příjmy!DX111</f>
        <v>430400</v>
      </c>
      <c r="K6" s="106">
        <f>Rozpis_Příjmy!DZ111</f>
        <v>283820</v>
      </c>
      <c r="L6" s="106">
        <f>Rozpis_Příjmy!EA111</f>
        <v>714220</v>
      </c>
    </row>
    <row r="7" spans="1:12">
      <c r="A7" s="105" t="s">
        <v>269</v>
      </c>
      <c r="B7" s="105" t="s">
        <v>270</v>
      </c>
      <c r="C7" s="106">
        <f>Rozpis_Příjmy!CR89</f>
        <v>30000</v>
      </c>
      <c r="D7" s="106">
        <f>Rozpis_Příjmy!DQ89</f>
        <v>191500</v>
      </c>
      <c r="E7" s="106">
        <f>Rozpis_Příjmy!DS89</f>
        <v>205926</v>
      </c>
      <c r="F7" s="106">
        <f>Rozpis_Příjmy!DU89</f>
        <v>40000</v>
      </c>
      <c r="G7" s="419"/>
      <c r="H7" s="106">
        <f>Rozpis_Příjmy!DW89</f>
        <v>0</v>
      </c>
      <c r="I7" s="106">
        <f>Rozpis_Příjmy!DX89</f>
        <v>40000</v>
      </c>
      <c r="K7" s="106">
        <f>Rozpis_Příjmy!DZ89</f>
        <v>0</v>
      </c>
      <c r="L7" s="106">
        <f>Rozpis_Příjmy!EA89</f>
        <v>40000</v>
      </c>
    </row>
    <row r="8" spans="1:12">
      <c r="A8" s="105" t="s">
        <v>271</v>
      </c>
      <c r="B8" s="105" t="s">
        <v>272</v>
      </c>
      <c r="C8" s="106">
        <f>Rozpis_Příjmy!CR33</f>
        <v>365188.89</v>
      </c>
      <c r="D8" s="106">
        <v>1624040</v>
      </c>
      <c r="E8" s="106">
        <f>Rozpis_Příjmy!DS33</f>
        <v>1624040</v>
      </c>
      <c r="F8" s="106">
        <f>Rozpis_Příjmy!DU33</f>
        <v>179700</v>
      </c>
      <c r="G8" s="419"/>
      <c r="H8" s="106">
        <f>Rozpis_Příjmy!DW33</f>
        <v>0</v>
      </c>
      <c r="I8" s="106">
        <f>Rozpis_Příjmy!DX33</f>
        <v>179700</v>
      </c>
      <c r="K8" s="106">
        <f>Rozpis_Příjmy!DZ33</f>
        <v>72500</v>
      </c>
      <c r="L8" s="106">
        <f>Rozpis_Příjmy!EA33</f>
        <v>252200</v>
      </c>
    </row>
    <row r="9" spans="1:12" s="117" customFormat="1" ht="16.5" thickBot="1">
      <c r="A9" s="115" t="s">
        <v>261</v>
      </c>
      <c r="B9" s="115"/>
      <c r="C9" s="116">
        <f>SUM(C5:C8)</f>
        <v>7036388.8899999997</v>
      </c>
      <c r="D9" s="116">
        <f>SUM(D5:D8)</f>
        <v>8792042</v>
      </c>
      <c r="E9" s="116">
        <f>SUM(E5:E8)</f>
        <v>8910928.7300000004</v>
      </c>
      <c r="F9" s="116">
        <f>SUM(F5:F8)</f>
        <v>7413100</v>
      </c>
      <c r="G9" s="419"/>
      <c r="H9" s="116">
        <f>SUM(H5:H8)</f>
        <v>63080</v>
      </c>
      <c r="I9" s="116">
        <f>SUM(I5:I8)</f>
        <v>7476180</v>
      </c>
      <c r="K9" s="116">
        <f>SUM(K5:K8)</f>
        <v>360820</v>
      </c>
      <c r="L9" s="116">
        <f>SUM(L5:L8)</f>
        <v>7837000</v>
      </c>
    </row>
    <row r="10" spans="1:12">
      <c r="H10" s="106"/>
      <c r="I10" s="106"/>
      <c r="K10" s="106"/>
      <c r="L10" s="106"/>
    </row>
    <row r="11" spans="1:12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416"/>
      <c r="H11" s="114"/>
      <c r="I11" s="114"/>
      <c r="K11" s="114"/>
      <c r="L11" s="114"/>
    </row>
    <row r="12" spans="1:12">
      <c r="A12" s="105" t="s">
        <v>274</v>
      </c>
      <c r="B12" s="105" t="s">
        <v>275</v>
      </c>
      <c r="C12" s="106">
        <f>Rozpis_Výdaje!DC332</f>
        <v>6251689.0999999996</v>
      </c>
      <c r="D12" s="106">
        <v>7077159</v>
      </c>
      <c r="E12" s="106">
        <f>Rozpis_Výdaje!EI332</f>
        <v>6909647.4500000002</v>
      </c>
      <c r="F12" s="106">
        <f>Rozpis_Výdaje!EK332</f>
        <v>5939880.0999999996</v>
      </c>
      <c r="G12" s="419"/>
      <c r="H12" s="106">
        <f>Rozpis_Výdaje!EM332</f>
        <v>70380</v>
      </c>
      <c r="I12" s="106">
        <f>Rozpis_Výdaje!EN332</f>
        <v>6010260.0999999996</v>
      </c>
      <c r="J12" s="106"/>
      <c r="K12" s="106">
        <f>Rozpis_Výdaje!EP332</f>
        <v>182700</v>
      </c>
      <c r="L12" s="106">
        <f>Rozpis_Výdaje!EQ332</f>
        <v>6192960.0999999996</v>
      </c>
    </row>
    <row r="13" spans="1:12">
      <c r="A13" s="105" t="s">
        <v>276</v>
      </c>
      <c r="B13" s="105" t="s">
        <v>277</v>
      </c>
      <c r="C13" s="106">
        <f>Rozpis_Výdaje!DC335</f>
        <v>539700</v>
      </c>
      <c r="D13" s="106">
        <v>1791241</v>
      </c>
      <c r="E13" s="106">
        <f>Rozpis_Výdaje!EI335</f>
        <v>1491803.66</v>
      </c>
      <c r="F13" s="106">
        <f>Rozpis_Výdaje!EK335</f>
        <v>2258340</v>
      </c>
      <c r="G13" s="419"/>
      <c r="H13" s="106">
        <f>Rozpis_Výdaje!EM335</f>
        <v>-7300</v>
      </c>
      <c r="I13" s="106">
        <f>Rozpis_Výdaje!EN335</f>
        <v>2251040</v>
      </c>
      <c r="J13" s="106"/>
      <c r="K13" s="106">
        <f>Rozpis_Výdaje!EP335</f>
        <v>0</v>
      </c>
      <c r="L13" s="106">
        <f>Rozpis_Výdaje!EQ335</f>
        <v>2251040</v>
      </c>
    </row>
    <row r="14" spans="1:12" s="117" customFormat="1" ht="16.5" thickBot="1">
      <c r="A14" s="115" t="s">
        <v>262</v>
      </c>
      <c r="B14" s="115"/>
      <c r="C14" s="116">
        <f>C12+C13</f>
        <v>6791389.0999999996</v>
      </c>
      <c r="D14" s="116">
        <f>D12+D13</f>
        <v>8868400</v>
      </c>
      <c r="E14" s="116">
        <f>E12+E13</f>
        <v>8401451.1099999994</v>
      </c>
      <c r="F14" s="116">
        <f>F12+F13</f>
        <v>8198220.0999999996</v>
      </c>
      <c r="G14" s="419"/>
      <c r="H14" s="116">
        <f>H12+H13</f>
        <v>63080</v>
      </c>
      <c r="I14" s="116">
        <f>I12+I13</f>
        <v>8261300.0999999996</v>
      </c>
      <c r="J14" s="106"/>
      <c r="K14" s="116">
        <f>K12+K13</f>
        <v>182700</v>
      </c>
      <c r="L14" s="116">
        <f>L12+L13</f>
        <v>8444000.0999999996</v>
      </c>
    </row>
    <row r="15" spans="1:12">
      <c r="H15" s="106"/>
      <c r="I15" s="106"/>
      <c r="J15" s="106"/>
      <c r="K15" s="106"/>
      <c r="L15" s="106"/>
    </row>
    <row r="16" spans="1:12" ht="15.75" thickBot="1">
      <c r="A16" s="107" t="s">
        <v>278</v>
      </c>
      <c r="B16" s="107"/>
      <c r="C16" s="108">
        <f>C9-C14</f>
        <v>244999.79000000004</v>
      </c>
      <c r="D16" s="108">
        <f>D9-D14</f>
        <v>-76358</v>
      </c>
      <c r="E16" s="108">
        <f>E9-E14</f>
        <v>509477.62000000104</v>
      </c>
      <c r="F16" s="108">
        <f>F9-F14</f>
        <v>-785120.09999999963</v>
      </c>
      <c r="G16" s="416"/>
      <c r="H16" s="108">
        <f>H9-H14</f>
        <v>0</v>
      </c>
      <c r="I16" s="108">
        <f>I9-I14</f>
        <v>-785120.09999999963</v>
      </c>
      <c r="J16" s="106"/>
      <c r="K16" s="108">
        <f>K9-K14</f>
        <v>178120</v>
      </c>
      <c r="L16" s="108">
        <f>L9-L14</f>
        <v>-607000.09999999963</v>
      </c>
    </row>
    <row r="17" spans="1:12">
      <c r="G17" s="416"/>
      <c r="H17" s="106"/>
      <c r="I17" s="106"/>
      <c r="K17" s="106"/>
      <c r="L17" s="106"/>
    </row>
    <row r="18" spans="1:12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416"/>
      <c r="H18" s="114"/>
      <c r="I18" s="114"/>
      <c r="K18" s="114"/>
      <c r="L18" s="114"/>
    </row>
    <row r="19" spans="1:12">
      <c r="A19" s="105" t="s">
        <v>280</v>
      </c>
      <c r="B19" s="105">
        <v>8115</v>
      </c>
      <c r="C19" s="106"/>
      <c r="D19" s="106">
        <v>321358</v>
      </c>
      <c r="E19" s="106"/>
      <c r="F19" s="106">
        <v>1026120</v>
      </c>
      <c r="G19" s="416"/>
      <c r="H19" s="106"/>
      <c r="I19" s="106">
        <v>1026120</v>
      </c>
      <c r="K19" s="106">
        <v>-178120</v>
      </c>
      <c r="L19" s="106">
        <v>848000</v>
      </c>
    </row>
    <row r="20" spans="1:12">
      <c r="A20" s="105" t="s">
        <v>362</v>
      </c>
      <c r="B20" s="105">
        <v>8115</v>
      </c>
      <c r="C20" s="106"/>
      <c r="D20" s="106">
        <v>0</v>
      </c>
      <c r="E20" s="106">
        <v>-268734</v>
      </c>
      <c r="G20" s="416"/>
      <c r="H20" s="106"/>
      <c r="I20" s="106"/>
      <c r="K20" s="106"/>
      <c r="L20" s="106"/>
    </row>
    <row r="21" spans="1:12">
      <c r="A21" s="105" t="s">
        <v>646</v>
      </c>
      <c r="B21" s="105">
        <v>8117</v>
      </c>
      <c r="C21" s="106"/>
      <c r="D21" s="106">
        <v>900000</v>
      </c>
      <c r="E21" s="106">
        <v>900000</v>
      </c>
      <c r="F21" s="106">
        <v>1000000</v>
      </c>
      <c r="G21" s="416"/>
      <c r="H21" s="106"/>
      <c r="I21" s="106">
        <v>1000000</v>
      </c>
      <c r="K21" s="106"/>
      <c r="L21" s="106">
        <v>1000000</v>
      </c>
    </row>
    <row r="22" spans="1:12">
      <c r="A22" s="105" t="s">
        <v>647</v>
      </c>
      <c r="B22" s="105">
        <v>8118</v>
      </c>
      <c r="C22" s="106"/>
      <c r="D22" s="106">
        <v>-900000</v>
      </c>
      <c r="E22" s="106">
        <v>-900000</v>
      </c>
      <c r="F22" s="106">
        <v>-1000000</v>
      </c>
      <c r="G22" s="416"/>
      <c r="I22" s="106">
        <v>-1000000</v>
      </c>
      <c r="K22" s="407"/>
      <c r="L22" s="106">
        <v>-1000000</v>
      </c>
    </row>
    <row r="23" spans="1:12">
      <c r="A23" s="105" t="s">
        <v>358</v>
      </c>
      <c r="B23" s="105">
        <v>8123</v>
      </c>
      <c r="C23" s="106"/>
      <c r="D23" s="106"/>
      <c r="E23" s="106"/>
      <c r="G23" s="416"/>
      <c r="K23" s="407"/>
    </row>
    <row r="24" spans="1:12">
      <c r="A24" s="105" t="s">
        <v>577</v>
      </c>
      <c r="B24" s="105">
        <v>8124</v>
      </c>
      <c r="C24" s="106">
        <v>-245000</v>
      </c>
      <c r="D24" s="106">
        <v>-245000</v>
      </c>
      <c r="E24" s="106">
        <v>-240744</v>
      </c>
      <c r="F24" s="106">
        <v>-241000</v>
      </c>
      <c r="G24" s="416"/>
      <c r="H24" s="106">
        <v>0</v>
      </c>
      <c r="I24" s="106">
        <v>-241000</v>
      </c>
      <c r="K24" s="106">
        <v>0</v>
      </c>
      <c r="L24" s="106">
        <v>-241000</v>
      </c>
    </row>
    <row r="25" spans="1:12" s="117" customFormat="1" ht="17.25" customHeight="1" thickBot="1">
      <c r="A25" s="115" t="s">
        <v>359</v>
      </c>
      <c r="B25" s="115"/>
      <c r="C25" s="116">
        <f>SUM(C19:C24)</f>
        <v>-245000</v>
      </c>
      <c r="D25" s="116">
        <f t="shared" ref="D25:I25" si="0">SUM(D19:D24)</f>
        <v>76358</v>
      </c>
      <c r="E25" s="116">
        <f t="shared" si="0"/>
        <v>-509478</v>
      </c>
      <c r="F25" s="116">
        <f t="shared" si="0"/>
        <v>785120</v>
      </c>
      <c r="G25" s="416"/>
      <c r="H25" s="116">
        <f t="shared" si="0"/>
        <v>0</v>
      </c>
      <c r="I25" s="116">
        <f t="shared" si="0"/>
        <v>785120</v>
      </c>
      <c r="K25" s="116">
        <f t="shared" ref="K25:L25" si="1">SUM(K19:K24)</f>
        <v>-178120</v>
      </c>
      <c r="L25" s="116">
        <f t="shared" si="1"/>
        <v>607000</v>
      </c>
    </row>
    <row r="26" spans="1:12">
      <c r="H26" s="106"/>
      <c r="I26" s="106"/>
      <c r="K26" s="106"/>
      <c r="L26" s="106"/>
    </row>
    <row r="27" spans="1:12" ht="15.75" thickBot="1">
      <c r="A27" s="109" t="s">
        <v>360</v>
      </c>
      <c r="B27" s="109"/>
      <c r="C27" s="110">
        <f>C9-C14+C25</f>
        <v>-0.2099999999627471</v>
      </c>
      <c r="D27" s="110">
        <f>D9-D14+D25</f>
        <v>0</v>
      </c>
      <c r="E27" s="110">
        <f>E9-E14+E25</f>
        <v>-0.37999999895691872</v>
      </c>
      <c r="F27" s="110">
        <f>F9-F14+F25</f>
        <v>-9.999999962747097E-2</v>
      </c>
      <c r="H27" s="110">
        <f>H9-H14+H25</f>
        <v>0</v>
      </c>
      <c r="I27" s="110">
        <f>I9-I14+I25</f>
        <v>-9.999999962747097E-2</v>
      </c>
      <c r="K27" s="110">
        <f>K9-K14+K25</f>
        <v>0</v>
      </c>
      <c r="L27" s="110">
        <f>L9-L14+L25</f>
        <v>-9.999999962747097E-2</v>
      </c>
    </row>
    <row r="28" spans="1:12">
      <c r="D28" s="105" t="s">
        <v>457</v>
      </c>
    </row>
    <row r="29" spans="1:12">
      <c r="A29" s="104" t="s">
        <v>660</v>
      </c>
      <c r="B29" s="132"/>
      <c r="E29" s="104" t="s">
        <v>661</v>
      </c>
    </row>
    <row r="30" spans="1:12">
      <c r="A30" s="104" t="s">
        <v>662</v>
      </c>
      <c r="B30" s="132"/>
      <c r="E30" s="104" t="s">
        <v>663</v>
      </c>
      <c r="G30" s="105"/>
      <c r="J30" s="219" t="s">
        <v>461</v>
      </c>
    </row>
    <row r="31" spans="1:12">
      <c r="A31" s="104" t="s">
        <v>668</v>
      </c>
      <c r="B31" s="132"/>
      <c r="E31" s="104" t="s">
        <v>669</v>
      </c>
      <c r="G31" s="219"/>
      <c r="J31" s="219" t="s">
        <v>462</v>
      </c>
    </row>
    <row r="32" spans="1:12">
      <c r="A32" s="104"/>
    </row>
    <row r="33" spans="1:1">
      <c r="A33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71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92D2-3EFF-414E-B9FA-933DC8DB48FA}">
  <sheetPr>
    <tabColor rgb="FFFFFF00"/>
    <pageSetUpPr fitToPage="1"/>
  </sheetPr>
  <dimension ref="A1:I32"/>
  <sheetViews>
    <sheetView workbookViewId="0">
      <selection activeCell="A29" sqref="A29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3" width="19.28515625" style="105" customWidth="1"/>
    <col min="4" max="5" width="18.28515625" style="105" customWidth="1"/>
    <col min="6" max="6" width="18.28515625" style="106" customWidth="1"/>
    <col min="7" max="7" width="2.7109375" style="413" customWidth="1"/>
    <col min="8" max="8" width="14.7109375" style="407" customWidth="1"/>
    <col min="9" max="9" width="13.7109375" style="105" customWidth="1"/>
    <col min="10" max="10" width="11.42578125" style="105" bestFit="1" customWidth="1"/>
    <col min="11" max="16384" width="9.140625" style="105"/>
  </cols>
  <sheetData>
    <row r="1" spans="1:9">
      <c r="F1" s="105"/>
      <c r="G1" s="104"/>
      <c r="H1" s="104"/>
    </row>
    <row r="2" spans="1:9" ht="23.25">
      <c r="A2" s="431" t="s">
        <v>656</v>
      </c>
      <c r="B2" s="431"/>
      <c r="C2" s="431"/>
      <c r="D2" s="431"/>
      <c r="E2" s="431"/>
      <c r="F2" s="431"/>
      <c r="G2" s="406"/>
    </row>
    <row r="3" spans="1:9" ht="15.75">
      <c r="H3" s="117" t="s">
        <v>469</v>
      </c>
      <c r="I3" s="117"/>
    </row>
    <row r="4" spans="1:9" ht="45">
      <c r="A4" s="111" t="s">
        <v>263</v>
      </c>
      <c r="B4" s="111" t="s">
        <v>5</v>
      </c>
      <c r="C4" s="112" t="s">
        <v>640</v>
      </c>
      <c r="D4" s="112" t="s">
        <v>641</v>
      </c>
      <c r="E4" s="112" t="s">
        <v>642</v>
      </c>
      <c r="F4" s="113" t="s">
        <v>657</v>
      </c>
      <c r="G4" s="418"/>
      <c r="H4" s="222" t="s">
        <v>472</v>
      </c>
      <c r="I4" s="222" t="s">
        <v>473</v>
      </c>
    </row>
    <row r="5" spans="1:9">
      <c r="A5" s="105" t="s">
        <v>265</v>
      </c>
      <c r="B5" s="105" t="s">
        <v>266</v>
      </c>
      <c r="C5" s="106">
        <f>Rozpis_Příjmy!CR22</f>
        <v>6126400</v>
      </c>
      <c r="D5" s="106">
        <f>Rozpis_Příjmy!DQ22</f>
        <v>6154752</v>
      </c>
      <c r="E5" s="106">
        <f>Rozpis_Příjmy!DS22</f>
        <v>6279896.7999999998</v>
      </c>
      <c r="F5" s="106">
        <f>Rozpis_Příjmy!DU22</f>
        <v>6763000</v>
      </c>
      <c r="G5" s="419"/>
      <c r="H5" s="106">
        <f>Rozpis_Příjmy!DW22</f>
        <v>63080</v>
      </c>
      <c r="I5" s="106">
        <f>Rozpis_Příjmy!DX22</f>
        <v>6826080</v>
      </c>
    </row>
    <row r="6" spans="1:9">
      <c r="A6" s="105" t="s">
        <v>267</v>
      </c>
      <c r="B6" s="105" t="s">
        <v>268</v>
      </c>
      <c r="C6" s="106">
        <f>Rozpis_Příjmy!CR111</f>
        <v>514800</v>
      </c>
      <c r="D6" s="106">
        <f>Rozpis_Příjmy!DQ111</f>
        <v>821750</v>
      </c>
      <c r="E6" s="106">
        <f>Rozpis_Příjmy!DS111</f>
        <v>801065.93</v>
      </c>
      <c r="F6" s="106">
        <f>Rozpis_Příjmy!DU111</f>
        <v>430400</v>
      </c>
      <c r="G6" s="419"/>
      <c r="H6" s="106">
        <f>Rozpis_Příjmy!DW111</f>
        <v>0</v>
      </c>
      <c r="I6" s="106">
        <f>Rozpis_Příjmy!DX111</f>
        <v>430400</v>
      </c>
    </row>
    <row r="7" spans="1:9">
      <c r="A7" s="105" t="s">
        <v>269</v>
      </c>
      <c r="B7" s="105" t="s">
        <v>270</v>
      </c>
      <c r="C7" s="106">
        <f>Rozpis_Příjmy!CR89</f>
        <v>30000</v>
      </c>
      <c r="D7" s="106">
        <f>Rozpis_Příjmy!DQ89</f>
        <v>191500</v>
      </c>
      <c r="E7" s="106">
        <f>Rozpis_Příjmy!DS89</f>
        <v>205926</v>
      </c>
      <c r="F7" s="106">
        <f>Rozpis_Příjmy!DU89</f>
        <v>40000</v>
      </c>
      <c r="G7" s="419"/>
      <c r="H7" s="106">
        <f>Rozpis_Příjmy!DW89</f>
        <v>0</v>
      </c>
      <c r="I7" s="106">
        <f>Rozpis_Příjmy!DX89</f>
        <v>40000</v>
      </c>
    </row>
    <row r="8" spans="1:9">
      <c r="A8" s="105" t="s">
        <v>271</v>
      </c>
      <c r="B8" s="105" t="s">
        <v>272</v>
      </c>
      <c r="C8" s="106">
        <f>Rozpis_Příjmy!CR33</f>
        <v>365188.89</v>
      </c>
      <c r="D8" s="106">
        <v>1624040</v>
      </c>
      <c r="E8" s="106">
        <f>Rozpis_Příjmy!DS33</f>
        <v>1624040</v>
      </c>
      <c r="F8" s="106">
        <f>Rozpis_Příjmy!DU33</f>
        <v>179700</v>
      </c>
      <c r="G8" s="419"/>
      <c r="H8" s="106">
        <f>Rozpis_Příjmy!DW33</f>
        <v>0</v>
      </c>
      <c r="I8" s="106">
        <f>Rozpis_Příjmy!DX33</f>
        <v>179700</v>
      </c>
    </row>
    <row r="9" spans="1:9" s="117" customFormat="1" ht="16.5" thickBot="1">
      <c r="A9" s="115" t="s">
        <v>261</v>
      </c>
      <c r="B9" s="115"/>
      <c r="C9" s="116">
        <f>SUM(C5:C8)</f>
        <v>7036388.8899999997</v>
      </c>
      <c r="D9" s="116">
        <f>SUM(D5:D8)</f>
        <v>8792042</v>
      </c>
      <c r="E9" s="116">
        <f>SUM(E5:E8)</f>
        <v>8910928.7300000004</v>
      </c>
      <c r="F9" s="116">
        <f>SUM(F5:F8)</f>
        <v>7413100</v>
      </c>
      <c r="G9" s="419"/>
      <c r="H9" s="116">
        <f>SUM(H5:H8)</f>
        <v>63080</v>
      </c>
      <c r="I9" s="116">
        <f>SUM(I5:I8)</f>
        <v>7476180</v>
      </c>
    </row>
    <row r="10" spans="1:9">
      <c r="H10" s="106"/>
      <c r="I10" s="106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416"/>
      <c r="H11" s="114"/>
      <c r="I11" s="114"/>
    </row>
    <row r="12" spans="1:9">
      <c r="A12" s="105" t="s">
        <v>274</v>
      </c>
      <c r="B12" s="105" t="s">
        <v>275</v>
      </c>
      <c r="C12" s="106">
        <f>Rozpis_Výdaje!DC332</f>
        <v>6251689.0999999996</v>
      </c>
      <c r="D12" s="106">
        <v>7077159</v>
      </c>
      <c r="E12" s="106">
        <f>Rozpis_Výdaje!EI332</f>
        <v>6909647.4500000002</v>
      </c>
      <c r="F12" s="106">
        <f>Rozpis_Výdaje!EK332</f>
        <v>5939880.0999999996</v>
      </c>
      <c r="G12" s="419"/>
      <c r="H12" s="106">
        <f>Rozpis_Výdaje!EM332</f>
        <v>70380</v>
      </c>
      <c r="I12" s="106">
        <f>Rozpis_Výdaje!EN332</f>
        <v>6010260.0999999996</v>
      </c>
    </row>
    <row r="13" spans="1:9">
      <c r="A13" s="105" t="s">
        <v>276</v>
      </c>
      <c r="B13" s="105" t="s">
        <v>277</v>
      </c>
      <c r="C13" s="106">
        <f>Rozpis_Výdaje!DC335</f>
        <v>539700</v>
      </c>
      <c r="D13" s="106">
        <v>1791241</v>
      </c>
      <c r="E13" s="106">
        <f>Rozpis_Výdaje!EI335</f>
        <v>1491803.66</v>
      </c>
      <c r="F13" s="106">
        <f>Rozpis_Výdaje!EK335</f>
        <v>2258340</v>
      </c>
      <c r="G13" s="419"/>
      <c r="H13" s="106">
        <f>Rozpis_Výdaje!EM335</f>
        <v>-7300</v>
      </c>
      <c r="I13" s="106">
        <f>Rozpis_Výdaje!EN335</f>
        <v>2251040</v>
      </c>
    </row>
    <row r="14" spans="1:9" s="117" customFormat="1" ht="16.5" thickBot="1">
      <c r="A14" s="115" t="s">
        <v>262</v>
      </c>
      <c r="B14" s="115"/>
      <c r="C14" s="116">
        <f>C12+C13</f>
        <v>6791389.0999999996</v>
      </c>
      <c r="D14" s="116">
        <f>D12+D13</f>
        <v>8868400</v>
      </c>
      <c r="E14" s="116">
        <f>E12+E13</f>
        <v>8401451.1099999994</v>
      </c>
      <c r="F14" s="116">
        <f>F12+F13</f>
        <v>8198220.0999999996</v>
      </c>
      <c r="G14" s="419"/>
      <c r="H14" s="116">
        <f>H12+H13</f>
        <v>63080</v>
      </c>
      <c r="I14" s="116">
        <f>I12+I13</f>
        <v>8261300.0999999996</v>
      </c>
    </row>
    <row r="15" spans="1:9">
      <c r="H15" s="106"/>
      <c r="I15" s="106"/>
    </row>
    <row r="16" spans="1:9" ht="15.75" thickBot="1">
      <c r="A16" s="107" t="s">
        <v>278</v>
      </c>
      <c r="B16" s="107"/>
      <c r="C16" s="108">
        <f>C9-C14</f>
        <v>244999.79000000004</v>
      </c>
      <c r="D16" s="108">
        <f>D9-D14</f>
        <v>-76358</v>
      </c>
      <c r="E16" s="108">
        <f>E9-E14</f>
        <v>509477.62000000104</v>
      </c>
      <c r="F16" s="108">
        <f>F9-F14</f>
        <v>-785120.09999999963</v>
      </c>
      <c r="G16" s="416"/>
      <c r="H16" s="108">
        <f>H9-H14</f>
        <v>0</v>
      </c>
      <c r="I16" s="108">
        <f>I9-I14</f>
        <v>-785120.09999999963</v>
      </c>
    </row>
    <row r="17" spans="1:9">
      <c r="G17" s="416"/>
      <c r="H17" s="106"/>
      <c r="I17" s="106"/>
    </row>
    <row r="18" spans="1:9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416"/>
      <c r="H18" s="114"/>
      <c r="I18" s="114"/>
    </row>
    <row r="19" spans="1:9">
      <c r="A19" s="105" t="s">
        <v>280</v>
      </c>
      <c r="B19" s="105">
        <v>8115</v>
      </c>
      <c r="C19" s="106"/>
      <c r="D19" s="106">
        <v>321358</v>
      </c>
      <c r="E19" s="106"/>
      <c r="F19" s="106">
        <v>1026120</v>
      </c>
      <c r="G19" s="416"/>
      <c r="H19" s="106"/>
      <c r="I19" s="106">
        <v>1026120</v>
      </c>
    </row>
    <row r="20" spans="1:9">
      <c r="A20" s="105" t="s">
        <v>362</v>
      </c>
      <c r="B20" s="105">
        <v>8115</v>
      </c>
      <c r="C20" s="106"/>
      <c r="D20" s="106">
        <v>0</v>
      </c>
      <c r="E20" s="106">
        <v>-268734</v>
      </c>
      <c r="G20" s="416"/>
      <c r="H20" s="106"/>
      <c r="I20" s="106"/>
    </row>
    <row r="21" spans="1:9">
      <c r="A21" s="105" t="s">
        <v>646</v>
      </c>
      <c r="B21" s="105">
        <v>8117</v>
      </c>
      <c r="C21" s="106"/>
      <c r="D21" s="106">
        <v>900000</v>
      </c>
      <c r="E21" s="106">
        <v>900000</v>
      </c>
      <c r="F21" s="106">
        <v>1000000</v>
      </c>
      <c r="G21" s="416"/>
      <c r="H21" s="106"/>
      <c r="I21" s="106">
        <v>1000000</v>
      </c>
    </row>
    <row r="22" spans="1:9">
      <c r="A22" s="105" t="s">
        <v>647</v>
      </c>
      <c r="B22" s="105">
        <v>8118</v>
      </c>
      <c r="C22" s="106"/>
      <c r="D22" s="106">
        <v>-900000</v>
      </c>
      <c r="E22" s="106">
        <v>-900000</v>
      </c>
      <c r="F22" s="106">
        <v>-1000000</v>
      </c>
      <c r="G22" s="416"/>
      <c r="I22" s="106">
        <v>-1000000</v>
      </c>
    </row>
    <row r="23" spans="1:9">
      <c r="A23" s="105" t="s">
        <v>358</v>
      </c>
      <c r="B23" s="105">
        <v>8123</v>
      </c>
      <c r="C23" s="106"/>
      <c r="D23" s="106"/>
      <c r="E23" s="106"/>
      <c r="G23" s="416"/>
    </row>
    <row r="24" spans="1:9">
      <c r="A24" s="105" t="s">
        <v>577</v>
      </c>
      <c r="B24" s="105">
        <v>8124</v>
      </c>
      <c r="C24" s="106">
        <v>-245000</v>
      </c>
      <c r="D24" s="106">
        <v>-245000</v>
      </c>
      <c r="E24" s="106">
        <v>-240744</v>
      </c>
      <c r="F24" s="106">
        <v>-241000</v>
      </c>
      <c r="G24" s="416"/>
      <c r="H24" s="106">
        <v>0</v>
      </c>
      <c r="I24" s="106">
        <v>-241000</v>
      </c>
    </row>
    <row r="25" spans="1:9" s="117" customFormat="1" ht="17.25" customHeight="1" thickBot="1">
      <c r="A25" s="115" t="s">
        <v>359</v>
      </c>
      <c r="B25" s="115"/>
      <c r="C25" s="116">
        <f>SUM(C19:C24)</f>
        <v>-245000</v>
      </c>
      <c r="D25" s="116">
        <f t="shared" ref="D25:I25" si="0">SUM(D19:D24)</f>
        <v>76358</v>
      </c>
      <c r="E25" s="116">
        <f t="shared" si="0"/>
        <v>-509478</v>
      </c>
      <c r="F25" s="116">
        <f t="shared" si="0"/>
        <v>785120</v>
      </c>
      <c r="G25" s="416"/>
      <c r="H25" s="116">
        <f t="shared" si="0"/>
        <v>0</v>
      </c>
      <c r="I25" s="116">
        <f t="shared" si="0"/>
        <v>785120</v>
      </c>
    </row>
    <row r="26" spans="1:9">
      <c r="H26" s="106"/>
      <c r="I26" s="106"/>
    </row>
    <row r="27" spans="1:9" ht="15.75" thickBot="1">
      <c r="A27" s="109" t="s">
        <v>360</v>
      </c>
      <c r="B27" s="109"/>
      <c r="C27" s="110">
        <f>C9-C14+C25</f>
        <v>-0.2099999999627471</v>
      </c>
      <c r="D27" s="110">
        <f>D9-D14+D25</f>
        <v>0</v>
      </c>
      <c r="E27" s="110">
        <f>E9-E14+E25</f>
        <v>-0.37999999895691872</v>
      </c>
      <c r="F27" s="110">
        <f>F9-F14+F25</f>
        <v>-9.999999962747097E-2</v>
      </c>
      <c r="H27" s="110">
        <f>H9-H14+H25</f>
        <v>0</v>
      </c>
      <c r="I27" s="110">
        <f>I9-I14+I25</f>
        <v>-9.999999962747097E-2</v>
      </c>
    </row>
    <row r="28" spans="1:9">
      <c r="D28" s="105" t="s">
        <v>457</v>
      </c>
    </row>
    <row r="29" spans="1:9">
      <c r="A29" s="104" t="s">
        <v>660</v>
      </c>
      <c r="B29" s="132"/>
      <c r="E29" s="104" t="s">
        <v>661</v>
      </c>
      <c r="G29" s="219" t="s">
        <v>461</v>
      </c>
    </row>
    <row r="30" spans="1:9">
      <c r="A30" s="104" t="s">
        <v>662</v>
      </c>
      <c r="B30" s="132"/>
      <c r="E30" s="104" t="s">
        <v>663</v>
      </c>
      <c r="G30" s="219" t="s">
        <v>462</v>
      </c>
    </row>
    <row r="31" spans="1:9">
      <c r="A31" s="104"/>
    </row>
    <row r="32" spans="1:9">
      <c r="A32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BD5E8-E738-4763-A2F8-01D95FF66526}">
  <sheetPr>
    <tabColor theme="9" tint="-0.249977111117893"/>
    <pageSetUpPr fitToPage="1"/>
  </sheetPr>
  <dimension ref="A1:I33"/>
  <sheetViews>
    <sheetView workbookViewId="0">
      <selection activeCell="G28" sqref="G28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3" width="19.5703125" style="105" customWidth="1"/>
    <col min="4" max="5" width="18.28515625" style="105" customWidth="1"/>
    <col min="6" max="6" width="18.28515625" style="106" customWidth="1"/>
    <col min="7" max="7" width="10.5703125" style="413" customWidth="1"/>
    <col min="8" max="8" width="10.5703125" style="407" customWidth="1"/>
    <col min="9" max="16384" width="9.140625" style="105"/>
  </cols>
  <sheetData>
    <row r="1" spans="1:9">
      <c r="F1" s="105"/>
      <c r="G1" s="104"/>
      <c r="H1" s="104"/>
    </row>
    <row r="2" spans="1:9" ht="23.25">
      <c r="A2" s="431" t="s">
        <v>656</v>
      </c>
      <c r="B2" s="431"/>
      <c r="C2" s="431"/>
      <c r="D2" s="431"/>
      <c r="E2" s="431"/>
      <c r="F2" s="431"/>
      <c r="G2" s="406"/>
    </row>
    <row r="4" spans="1:9" ht="31.5">
      <c r="A4" s="111" t="s">
        <v>263</v>
      </c>
      <c r="B4" s="111" t="s">
        <v>5</v>
      </c>
      <c r="C4" s="112" t="s">
        <v>640</v>
      </c>
      <c r="D4" s="112" t="s">
        <v>641</v>
      </c>
      <c r="E4" s="112" t="s">
        <v>642</v>
      </c>
      <c r="F4" s="113" t="s">
        <v>657</v>
      </c>
      <c r="G4" s="408" t="s">
        <v>644</v>
      </c>
      <c r="H4" s="409" t="s">
        <v>645</v>
      </c>
    </row>
    <row r="5" spans="1:9">
      <c r="A5" s="105" t="s">
        <v>265</v>
      </c>
      <c r="B5" s="105" t="s">
        <v>266</v>
      </c>
      <c r="C5" s="106">
        <f>Rozpis_Příjmy!CR22</f>
        <v>6126400</v>
      </c>
      <c r="D5" s="106">
        <f>Rozpis_Příjmy!DQ22</f>
        <v>6154752</v>
      </c>
      <c r="E5" s="106">
        <f>Rozpis_Příjmy!DS22</f>
        <v>6279896.7999999998</v>
      </c>
      <c r="F5" s="106">
        <f>Rozpis_Příjmy!DU22</f>
        <v>6763000</v>
      </c>
      <c r="G5" s="410">
        <f>F5/D5-1</f>
        <v>9.8825752849180493E-2</v>
      </c>
      <c r="H5" s="410">
        <f>F5/E5-1</f>
        <v>7.6928525322263352E-2</v>
      </c>
    </row>
    <row r="6" spans="1:9">
      <c r="A6" s="105" t="s">
        <v>267</v>
      </c>
      <c r="B6" s="105" t="s">
        <v>268</v>
      </c>
      <c r="C6" s="106">
        <f>Rozpis_Příjmy!CR111</f>
        <v>514800</v>
      </c>
      <c r="D6" s="106">
        <f>Rozpis_Příjmy!DQ111</f>
        <v>821750</v>
      </c>
      <c r="E6" s="106">
        <f>Rozpis_Příjmy!DS111</f>
        <v>801065.93</v>
      </c>
      <c r="F6" s="106">
        <f>Rozpis_Příjmy!DU111</f>
        <v>430400</v>
      </c>
      <c r="G6" s="410">
        <f t="shared" ref="G6:G8" si="0">F6/D6-1</f>
        <v>-0.47623973227867356</v>
      </c>
      <c r="H6" s="410">
        <f t="shared" ref="H6:H14" si="1">F6/E6-1</f>
        <v>-0.46271588407211384</v>
      </c>
    </row>
    <row r="7" spans="1:9">
      <c r="A7" s="105" t="s">
        <v>269</v>
      </c>
      <c r="B7" s="105" t="s">
        <v>270</v>
      </c>
      <c r="C7" s="106">
        <f>Rozpis_Příjmy!CR89</f>
        <v>30000</v>
      </c>
      <c r="D7" s="106">
        <f>Rozpis_Příjmy!DQ89</f>
        <v>191500</v>
      </c>
      <c r="E7" s="106">
        <f>Rozpis_Příjmy!DS89</f>
        <v>205926</v>
      </c>
      <c r="F7" s="106">
        <f>Rozpis_Příjmy!DU89</f>
        <v>40000</v>
      </c>
      <c r="G7" s="410">
        <f t="shared" si="0"/>
        <v>-0.79112271540469981</v>
      </c>
      <c r="H7" s="410">
        <f t="shared" si="1"/>
        <v>-0.80575546555558797</v>
      </c>
    </row>
    <row r="8" spans="1:9">
      <c r="A8" s="105" t="s">
        <v>271</v>
      </c>
      <c r="B8" s="105" t="s">
        <v>272</v>
      </c>
      <c r="C8" s="106">
        <f>Rozpis_Příjmy!CR33</f>
        <v>365188.89</v>
      </c>
      <c r="D8" s="106">
        <v>1624040</v>
      </c>
      <c r="E8" s="106">
        <f>Rozpis_Příjmy!DS33</f>
        <v>1624040</v>
      </c>
      <c r="F8" s="106">
        <f>Rozpis_Příjmy!DU33</f>
        <v>179700</v>
      </c>
      <c r="G8" s="410">
        <f t="shared" si="0"/>
        <v>-0.88935001600945784</v>
      </c>
      <c r="H8" s="410">
        <f t="shared" si="1"/>
        <v>-0.88935001600945784</v>
      </c>
    </row>
    <row r="9" spans="1:9" s="117" customFormat="1" ht="16.5" thickBot="1">
      <c r="A9" s="115" t="s">
        <v>261</v>
      </c>
      <c r="B9" s="115"/>
      <c r="C9" s="116">
        <f>SUM(C5:C8)</f>
        <v>7036388.8899999997</v>
      </c>
      <c r="D9" s="116">
        <f>SUM(D5:D8)</f>
        <v>8792042</v>
      </c>
      <c r="E9" s="116">
        <f>SUM(E5:E8)</f>
        <v>8910928.7300000004</v>
      </c>
      <c r="F9" s="116">
        <f>SUM(F5:F8)</f>
        <v>7413100</v>
      </c>
      <c r="G9" s="411">
        <f>F9/D9-1</f>
        <v>-0.1568397876170291</v>
      </c>
      <c r="H9" s="412">
        <f t="shared" si="1"/>
        <v>-0.16808895855684847</v>
      </c>
    </row>
    <row r="10" spans="1:9">
      <c r="H10" s="410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414"/>
      <c r="H11" s="415"/>
    </row>
    <row r="12" spans="1:9">
      <c r="A12" s="105" t="s">
        <v>274</v>
      </c>
      <c r="B12" s="105" t="s">
        <v>275</v>
      </c>
      <c r="C12" s="106">
        <f>Rozpis_Výdaje!DC332</f>
        <v>6251689.0999999996</v>
      </c>
      <c r="D12" s="106">
        <v>7077159</v>
      </c>
      <c r="E12" s="106">
        <f>Rozpis_Výdaje!EI332</f>
        <v>6909647.4500000002</v>
      </c>
      <c r="F12" s="106">
        <f>Rozpis_Výdaje!EK332</f>
        <v>5939880.0999999996</v>
      </c>
      <c r="G12" s="410">
        <f t="shared" ref="G12:G13" si="2">F12/D12-1</f>
        <v>-0.16069709610876348</v>
      </c>
      <c r="H12" s="410">
        <f t="shared" si="1"/>
        <v>-0.14034975836574703</v>
      </c>
    </row>
    <row r="13" spans="1:9">
      <c r="A13" s="105" t="s">
        <v>276</v>
      </c>
      <c r="B13" s="105" t="s">
        <v>277</v>
      </c>
      <c r="C13" s="106">
        <f>Rozpis_Výdaje!DC335</f>
        <v>539700</v>
      </c>
      <c r="D13" s="106">
        <v>1791241</v>
      </c>
      <c r="E13" s="106">
        <f>Rozpis_Výdaje!EI335</f>
        <v>1491803.66</v>
      </c>
      <c r="F13" s="106">
        <f>Rozpis_Výdaje!EK335</f>
        <v>2258340</v>
      </c>
      <c r="G13" s="410">
        <f t="shared" si="2"/>
        <v>0.26076837231840932</v>
      </c>
      <c r="H13" s="410">
        <f t="shared" si="1"/>
        <v>0.51383192075021467</v>
      </c>
      <c r="I13" s="105" t="s">
        <v>457</v>
      </c>
    </row>
    <row r="14" spans="1:9" s="117" customFormat="1" ht="16.5" thickBot="1">
      <c r="A14" s="115" t="s">
        <v>262</v>
      </c>
      <c r="B14" s="115"/>
      <c r="C14" s="116">
        <f>C12+C13</f>
        <v>6791389.0999999996</v>
      </c>
      <c r="D14" s="116">
        <f>D12+D13</f>
        <v>8868400</v>
      </c>
      <c r="E14" s="116">
        <f>E12+E13</f>
        <v>8401451.1099999994</v>
      </c>
      <c r="F14" s="116">
        <f>F12+F13</f>
        <v>8198220.0999999996</v>
      </c>
      <c r="G14" s="411">
        <f>F14/D14-1</f>
        <v>-7.5569426277569796E-2</v>
      </c>
      <c r="H14" s="412">
        <f t="shared" si="1"/>
        <v>-2.4189989007744161E-2</v>
      </c>
    </row>
    <row r="16" spans="1:9" ht="15.75" thickBot="1">
      <c r="A16" s="107" t="s">
        <v>278</v>
      </c>
      <c r="B16" s="107"/>
      <c r="C16" s="108">
        <f>C9-C14</f>
        <v>244999.79000000004</v>
      </c>
      <c r="D16" s="108">
        <f>D9-D14</f>
        <v>-76358</v>
      </c>
      <c r="E16" s="108">
        <f>E9-E14</f>
        <v>509477.62000000104</v>
      </c>
      <c r="F16" s="108">
        <f>F9-F14</f>
        <v>-785120.09999999963</v>
      </c>
      <c r="G16" s="416"/>
    </row>
    <row r="17" spans="1:8">
      <c r="G17" s="416"/>
    </row>
    <row r="18" spans="1:8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416"/>
    </row>
    <row r="19" spans="1:8">
      <c r="A19" s="105" t="s">
        <v>280</v>
      </c>
      <c r="B19" s="105">
        <v>8115</v>
      </c>
      <c r="C19" s="106"/>
      <c r="D19" s="106">
        <v>321358</v>
      </c>
      <c r="E19" s="106"/>
      <c r="F19" s="106">
        <v>1026120</v>
      </c>
      <c r="G19" s="416"/>
    </row>
    <row r="20" spans="1:8">
      <c r="A20" s="105" t="s">
        <v>362</v>
      </c>
      <c r="B20" s="105">
        <v>8115</v>
      </c>
      <c r="C20" s="106"/>
      <c r="D20" s="106">
        <v>0</v>
      </c>
      <c r="E20" s="106">
        <v>-268734</v>
      </c>
      <c r="G20" s="416"/>
    </row>
    <row r="21" spans="1:8">
      <c r="A21" s="105" t="s">
        <v>646</v>
      </c>
      <c r="B21" s="105">
        <v>8117</v>
      </c>
      <c r="C21" s="106"/>
      <c r="D21" s="106">
        <v>900000</v>
      </c>
      <c r="E21" s="106">
        <v>900000</v>
      </c>
      <c r="F21" s="106">
        <v>1000000</v>
      </c>
      <c r="G21" s="416"/>
    </row>
    <row r="22" spans="1:8">
      <c r="A22" s="105" t="s">
        <v>647</v>
      </c>
      <c r="B22" s="105">
        <v>8118</v>
      </c>
      <c r="C22" s="106"/>
      <c r="D22" s="106">
        <v>-900000</v>
      </c>
      <c r="E22" s="106">
        <v>-900000</v>
      </c>
      <c r="F22" s="106">
        <v>-1000000</v>
      </c>
      <c r="G22" s="416"/>
    </row>
    <row r="23" spans="1:8">
      <c r="A23" s="105" t="s">
        <v>358</v>
      </c>
      <c r="B23" s="105">
        <v>8123</v>
      </c>
      <c r="C23" s="106"/>
      <c r="D23" s="106"/>
      <c r="E23" s="106"/>
      <c r="G23" s="416"/>
    </row>
    <row r="24" spans="1:8">
      <c r="A24" s="105" t="s">
        <v>577</v>
      </c>
      <c r="B24" s="105">
        <v>8124</v>
      </c>
      <c r="C24" s="106">
        <v>-245000</v>
      </c>
      <c r="D24" s="106">
        <v>-245000</v>
      </c>
      <c r="E24" s="106">
        <v>-240744</v>
      </c>
      <c r="F24" s="106">
        <v>-241000</v>
      </c>
      <c r="G24" s="416"/>
    </row>
    <row r="25" spans="1:8" s="117" customFormat="1" ht="17.25" customHeight="1" thickBot="1">
      <c r="A25" s="115" t="s">
        <v>359</v>
      </c>
      <c r="B25" s="115"/>
      <c r="C25" s="116">
        <f>SUM(C19:C24)</f>
        <v>-245000</v>
      </c>
      <c r="D25" s="116">
        <f t="shared" ref="D25:F25" si="3">SUM(D19:D24)</f>
        <v>76358</v>
      </c>
      <c r="E25" s="116">
        <f t="shared" si="3"/>
        <v>-509478</v>
      </c>
      <c r="F25" s="116">
        <f t="shared" si="3"/>
        <v>785120</v>
      </c>
      <c r="G25" s="416"/>
      <c r="H25" s="417"/>
    </row>
    <row r="27" spans="1:8" ht="15.75" thickBot="1">
      <c r="A27" s="109" t="s">
        <v>360</v>
      </c>
      <c r="B27" s="109"/>
      <c r="C27" s="110">
        <f>C9-C14+C25</f>
        <v>-0.2099999999627471</v>
      </c>
      <c r="D27" s="110">
        <f>D9-D14+D25</f>
        <v>0</v>
      </c>
      <c r="E27" s="110">
        <f>E9-E14+E25</f>
        <v>-0.37999999895691872</v>
      </c>
      <c r="F27" s="110">
        <f>F9-F14+F25</f>
        <v>-9.999999962747097E-2</v>
      </c>
    </row>
    <row r="28" spans="1:8">
      <c r="C28" s="106"/>
      <c r="D28" s="106"/>
      <c r="E28" s="106"/>
    </row>
    <row r="29" spans="1:8">
      <c r="A29" s="104" t="s">
        <v>660</v>
      </c>
      <c r="D29" s="105" t="s">
        <v>457</v>
      </c>
    </row>
    <row r="30" spans="1:8">
      <c r="A30" s="104"/>
    </row>
    <row r="31" spans="1:8">
      <c r="A31" s="104" t="s">
        <v>655</v>
      </c>
      <c r="B31" s="132"/>
      <c r="E31" s="219" t="s">
        <v>461</v>
      </c>
    </row>
    <row r="32" spans="1:8">
      <c r="A32" s="104"/>
      <c r="E32" s="219" t="s">
        <v>462</v>
      </c>
    </row>
    <row r="33" spans="1:1">
      <c r="A33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FEAA-4D6B-40E3-8B9C-79BD2206599A}">
  <sheetPr>
    <tabColor theme="9" tint="-0.249977111117893"/>
    <pageSetUpPr fitToPage="1"/>
  </sheetPr>
  <dimension ref="A1:I31"/>
  <sheetViews>
    <sheetView workbookViewId="0">
      <selection activeCell="G20" sqref="G20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3.140625" style="204" customWidth="1"/>
    <col min="8" max="8" width="10.7109375" style="200" customWidth="1"/>
    <col min="9" max="16384" width="9.140625" style="105"/>
  </cols>
  <sheetData>
    <row r="1" spans="1:9">
      <c r="F1" s="105"/>
      <c r="G1" s="105"/>
      <c r="H1" s="105"/>
    </row>
    <row r="2" spans="1:9" ht="23.25">
      <c r="A2" s="431" t="s">
        <v>639</v>
      </c>
      <c r="B2" s="431"/>
      <c r="C2" s="431"/>
      <c r="D2" s="431"/>
      <c r="E2" s="431"/>
      <c r="F2" s="431"/>
      <c r="G2" s="199"/>
    </row>
    <row r="4" spans="1:9" ht="31.5">
      <c r="A4" s="111" t="s">
        <v>263</v>
      </c>
      <c r="B4" s="111" t="s">
        <v>5</v>
      </c>
      <c r="C4" s="112" t="s">
        <v>640</v>
      </c>
      <c r="D4" s="112" t="s">
        <v>641</v>
      </c>
      <c r="E4" s="112" t="s">
        <v>642</v>
      </c>
      <c r="F4" s="113" t="s">
        <v>643</v>
      </c>
      <c r="G4" s="211" t="s">
        <v>644</v>
      </c>
      <c r="H4" s="212" t="s">
        <v>645</v>
      </c>
    </row>
    <row r="5" spans="1:9">
      <c r="A5" s="105" t="s">
        <v>265</v>
      </c>
      <c r="B5" s="105" t="s">
        <v>266</v>
      </c>
      <c r="C5" s="106">
        <f>Rozpis_Příjmy!CR22</f>
        <v>6126400</v>
      </c>
      <c r="D5" s="106">
        <f>Rozpis_Příjmy!DQ22</f>
        <v>6154752</v>
      </c>
      <c r="E5" s="106">
        <f>Rozpis_Příjmy!DS22</f>
        <v>6279896.7999999998</v>
      </c>
      <c r="F5" s="106">
        <f>Rozpis_Příjmy!DU22</f>
        <v>6763000</v>
      </c>
      <c r="G5" s="201">
        <f>F5/D5-1</f>
        <v>9.8825752849180493E-2</v>
      </c>
      <c r="H5" s="201">
        <f>F5/E5-1</f>
        <v>7.6928525322263352E-2</v>
      </c>
    </row>
    <row r="6" spans="1:9">
      <c r="A6" s="105" t="s">
        <v>267</v>
      </c>
      <c r="B6" s="105" t="s">
        <v>268</v>
      </c>
      <c r="C6" s="106">
        <f>Rozpis_Příjmy!CR111</f>
        <v>514800</v>
      </c>
      <c r="D6" s="106">
        <f>Rozpis_Příjmy!DQ111</f>
        <v>821750</v>
      </c>
      <c r="E6" s="106">
        <f>Rozpis_Příjmy!DS111</f>
        <v>801065.93</v>
      </c>
      <c r="F6" s="106">
        <f>Rozpis_Příjmy!DU111</f>
        <v>430400</v>
      </c>
      <c r="G6" s="201">
        <f t="shared" ref="G6:G8" si="0">F6/D6-1</f>
        <v>-0.47623973227867356</v>
      </c>
      <c r="H6" s="201">
        <f t="shared" ref="H6:H14" si="1">F6/E6-1</f>
        <v>-0.46271588407211384</v>
      </c>
    </row>
    <row r="7" spans="1:9">
      <c r="A7" s="105" t="s">
        <v>269</v>
      </c>
      <c r="B7" s="105" t="s">
        <v>270</v>
      </c>
      <c r="C7" s="106">
        <f>Rozpis_Příjmy!CR89</f>
        <v>30000</v>
      </c>
      <c r="D7" s="106">
        <f>Rozpis_Příjmy!DQ89</f>
        <v>191500</v>
      </c>
      <c r="E7" s="106">
        <f>Rozpis_Příjmy!DS89</f>
        <v>205926</v>
      </c>
      <c r="F7" s="106">
        <f>Rozpis_Příjmy!DU89</f>
        <v>40000</v>
      </c>
      <c r="G7" s="201">
        <f t="shared" si="0"/>
        <v>-0.79112271540469981</v>
      </c>
      <c r="H7" s="201">
        <f t="shared" si="1"/>
        <v>-0.80575546555558797</v>
      </c>
    </row>
    <row r="8" spans="1:9">
      <c r="A8" s="105" t="s">
        <v>271</v>
      </c>
      <c r="B8" s="105" t="s">
        <v>272</v>
      </c>
      <c r="C8" s="106">
        <f>Rozpis_Příjmy!CR33</f>
        <v>365188.89</v>
      </c>
      <c r="D8" s="106">
        <v>1624040</v>
      </c>
      <c r="E8" s="106">
        <f>Rozpis_Příjmy!DS33</f>
        <v>1624040</v>
      </c>
      <c r="F8" s="106">
        <f>Rozpis_Příjmy!DU33</f>
        <v>179700</v>
      </c>
      <c r="G8" s="201">
        <f t="shared" si="0"/>
        <v>-0.88935001600945784</v>
      </c>
      <c r="H8" s="201">
        <f t="shared" si="1"/>
        <v>-0.88935001600945784</v>
      </c>
    </row>
    <row r="9" spans="1:9" s="117" customFormat="1" ht="16.5" thickBot="1">
      <c r="A9" s="115" t="s">
        <v>261</v>
      </c>
      <c r="B9" s="115"/>
      <c r="C9" s="116">
        <f>SUM(C5:C8)</f>
        <v>7036388.8899999997</v>
      </c>
      <c r="D9" s="116">
        <f>SUM(D5:D8)</f>
        <v>8792042</v>
      </c>
      <c r="E9" s="116">
        <f>SUM(E5:E8)</f>
        <v>8910928.7300000004</v>
      </c>
      <c r="F9" s="116">
        <f>SUM(F5:F8)</f>
        <v>7413100</v>
      </c>
      <c r="G9" s="202">
        <f>F9/D9-1</f>
        <v>-0.1568397876170291</v>
      </c>
      <c r="H9" s="203">
        <f t="shared" si="1"/>
        <v>-0.16808895855684847</v>
      </c>
    </row>
    <row r="10" spans="1:9">
      <c r="H10" s="201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209"/>
      <c r="H11" s="210"/>
    </row>
    <row r="12" spans="1:9">
      <c r="A12" s="105" t="s">
        <v>274</v>
      </c>
      <c r="B12" s="105" t="s">
        <v>275</v>
      </c>
      <c r="C12" s="106">
        <f>Rozpis_Výdaje!DC332</f>
        <v>6251689.0999999996</v>
      </c>
      <c r="D12" s="106">
        <v>7077159</v>
      </c>
      <c r="E12" s="106">
        <f>Rozpis_Výdaje!EI332</f>
        <v>6909647.4500000002</v>
      </c>
      <c r="F12" s="106">
        <f>Rozpis_Výdaje!EK332</f>
        <v>5939880.0999999996</v>
      </c>
      <c r="G12" s="201">
        <f t="shared" ref="G12:G13" si="2">F12/D12-1</f>
        <v>-0.16069709610876348</v>
      </c>
      <c r="H12" s="201">
        <f t="shared" si="1"/>
        <v>-0.14034975836574703</v>
      </c>
    </row>
    <row r="13" spans="1:9">
      <c r="A13" s="105" t="s">
        <v>276</v>
      </c>
      <c r="B13" s="105" t="s">
        <v>277</v>
      </c>
      <c r="C13" s="106">
        <f>Rozpis_Výdaje!DC335</f>
        <v>539700</v>
      </c>
      <c r="D13" s="106">
        <v>1791241</v>
      </c>
      <c r="E13" s="106">
        <f>Rozpis_Výdaje!EI335</f>
        <v>1491803.66</v>
      </c>
      <c r="F13" s="106">
        <f>Rozpis_Výdaje!EK335</f>
        <v>2258340</v>
      </c>
      <c r="G13" s="201">
        <f t="shared" si="2"/>
        <v>0.26076837231840932</v>
      </c>
      <c r="H13" s="201">
        <f t="shared" si="1"/>
        <v>0.51383192075021467</v>
      </c>
      <c r="I13" s="105" t="s">
        <v>457</v>
      </c>
    </row>
    <row r="14" spans="1:9" s="117" customFormat="1" ht="16.5" thickBot="1">
      <c r="A14" s="115" t="s">
        <v>262</v>
      </c>
      <c r="B14" s="115"/>
      <c r="C14" s="116">
        <f>C12+C13</f>
        <v>6791389.0999999996</v>
      </c>
      <c r="D14" s="116">
        <f>D12+D13</f>
        <v>8868400</v>
      </c>
      <c r="E14" s="116">
        <f>E12+E13</f>
        <v>8401451.1099999994</v>
      </c>
      <c r="F14" s="116">
        <f>F12+F13</f>
        <v>8198220.0999999996</v>
      </c>
      <c r="G14" s="202">
        <f>F14/D14-1</f>
        <v>-7.5569426277569796E-2</v>
      </c>
      <c r="H14" s="203">
        <f t="shared" si="1"/>
        <v>-2.4189989007744161E-2</v>
      </c>
    </row>
    <row r="16" spans="1:9" ht="15.75" thickBot="1">
      <c r="A16" s="107" t="s">
        <v>278</v>
      </c>
      <c r="B16" s="107"/>
      <c r="C16" s="108">
        <f>C9-C14</f>
        <v>244999.79000000004</v>
      </c>
      <c r="D16" s="108">
        <f>D9-D14</f>
        <v>-76358</v>
      </c>
      <c r="E16" s="108">
        <f>E9-E14</f>
        <v>509477.62000000104</v>
      </c>
      <c r="F16" s="108">
        <f>F9-F14</f>
        <v>-785120.09999999963</v>
      </c>
      <c r="G16" s="205"/>
    </row>
    <row r="17" spans="1:8">
      <c r="G17" s="205"/>
    </row>
    <row r="18" spans="1:8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205"/>
    </row>
    <row r="19" spans="1:8">
      <c r="A19" s="105" t="s">
        <v>280</v>
      </c>
      <c r="B19" s="105">
        <v>8115</v>
      </c>
      <c r="C19" s="106"/>
      <c r="D19" s="106">
        <v>321358</v>
      </c>
      <c r="E19" s="106"/>
      <c r="F19" s="106">
        <v>1026120</v>
      </c>
      <c r="G19" s="205"/>
    </row>
    <row r="20" spans="1:8">
      <c r="A20" s="105" t="s">
        <v>362</v>
      </c>
      <c r="B20" s="105">
        <v>8115</v>
      </c>
      <c r="C20" s="106"/>
      <c r="D20" s="106">
        <v>0</v>
      </c>
      <c r="E20" s="106">
        <v>-268734</v>
      </c>
      <c r="G20" s="205"/>
    </row>
    <row r="21" spans="1:8">
      <c r="A21" s="105" t="s">
        <v>646</v>
      </c>
      <c r="B21" s="105">
        <v>8117</v>
      </c>
      <c r="C21" s="106"/>
      <c r="D21" s="106">
        <v>900000</v>
      </c>
      <c r="E21" s="106">
        <v>900000</v>
      </c>
      <c r="F21" s="106">
        <v>1000000</v>
      </c>
      <c r="G21" s="205"/>
    </row>
    <row r="22" spans="1:8">
      <c r="A22" s="105" t="s">
        <v>647</v>
      </c>
      <c r="B22" s="105">
        <v>8118</v>
      </c>
      <c r="C22" s="106"/>
      <c r="D22" s="106">
        <v>-900000</v>
      </c>
      <c r="E22" s="106">
        <v>-900000</v>
      </c>
      <c r="F22" s="106">
        <v>-1000000</v>
      </c>
      <c r="G22" s="205"/>
    </row>
    <row r="23" spans="1:8">
      <c r="A23" s="105" t="s">
        <v>358</v>
      </c>
      <c r="B23" s="105">
        <v>8123</v>
      </c>
      <c r="C23" s="106"/>
      <c r="D23" s="106"/>
      <c r="E23" s="106"/>
      <c r="G23" s="205"/>
    </row>
    <row r="24" spans="1:8">
      <c r="A24" s="105" t="s">
        <v>577</v>
      </c>
      <c r="B24" s="105">
        <v>8124</v>
      </c>
      <c r="C24" s="106">
        <v>-245000</v>
      </c>
      <c r="D24" s="106">
        <v>-245000</v>
      </c>
      <c r="E24" s="106">
        <v>-240744</v>
      </c>
      <c r="F24" s="106">
        <v>-241000</v>
      </c>
      <c r="G24" s="205"/>
    </row>
    <row r="25" spans="1:8" s="117" customFormat="1" ht="17.25" customHeight="1" thickBot="1">
      <c r="A25" s="115" t="s">
        <v>359</v>
      </c>
      <c r="B25" s="115"/>
      <c r="C25" s="116">
        <f>SUM(C19:C24)</f>
        <v>-245000</v>
      </c>
      <c r="D25" s="116">
        <f t="shared" ref="D25:F25" si="3">SUM(D19:D24)</f>
        <v>76358</v>
      </c>
      <c r="E25" s="116">
        <f t="shared" si="3"/>
        <v>-509478</v>
      </c>
      <c r="F25" s="116">
        <f t="shared" si="3"/>
        <v>785120</v>
      </c>
      <c r="G25" s="205"/>
      <c r="H25" s="208"/>
    </row>
    <row r="27" spans="1:8" ht="15.75" thickBot="1">
      <c r="A27" s="109" t="s">
        <v>360</v>
      </c>
      <c r="B27" s="109"/>
      <c r="C27" s="110">
        <f>C9-C14+C25</f>
        <v>-0.2099999999627471</v>
      </c>
      <c r="D27" s="110">
        <f>D9-D14+D25</f>
        <v>0</v>
      </c>
      <c r="E27" s="110">
        <f>E9-E14+E25</f>
        <v>-0.37999999895691872</v>
      </c>
      <c r="F27" s="110">
        <f>F9-F14+F25</f>
        <v>-9.999999962747097E-2</v>
      </c>
    </row>
    <row r="28" spans="1:8">
      <c r="D28" s="105" t="s">
        <v>457</v>
      </c>
    </row>
    <row r="29" spans="1:8">
      <c r="A29" s="104" t="s">
        <v>655</v>
      </c>
      <c r="B29" s="132"/>
      <c r="E29" s="219" t="s">
        <v>461</v>
      </c>
    </row>
    <row r="30" spans="1:8">
      <c r="A30" s="104"/>
      <c r="E30" s="219" t="s">
        <v>462</v>
      </c>
    </row>
    <row r="31" spans="1:8">
      <c r="A31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29"/>
  <sheetViews>
    <sheetView topLeftCell="B1" workbookViewId="0">
      <selection activeCell="D18" sqref="D18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3.140625" style="204" customWidth="1"/>
    <col min="8" max="8" width="10.7109375" style="200" customWidth="1"/>
    <col min="9" max="16384" width="9.140625" style="105"/>
  </cols>
  <sheetData>
    <row r="1" spans="1:9">
      <c r="C1" s="106"/>
      <c r="D1" s="106"/>
      <c r="E1" s="106"/>
    </row>
    <row r="2" spans="1:9" ht="23.25">
      <c r="A2" s="431" t="s">
        <v>565</v>
      </c>
      <c r="B2" s="431"/>
      <c r="C2" s="431"/>
      <c r="D2" s="431"/>
      <c r="E2" s="431"/>
      <c r="F2" s="431"/>
      <c r="G2" s="199"/>
    </row>
    <row r="4" spans="1:9" ht="31.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568</v>
      </c>
      <c r="G4" s="211" t="s">
        <v>569</v>
      </c>
      <c r="H4" s="212" t="s">
        <v>573</v>
      </c>
    </row>
    <row r="5" spans="1:9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G5" s="201">
        <f>F5/C5-1</f>
        <v>0.12956100079281674</v>
      </c>
      <c r="H5" s="201">
        <f>F5/E5-1</f>
        <v>7.0411814615191748E-2</v>
      </c>
    </row>
    <row r="6" spans="1:9">
      <c r="A6" s="105" t="s">
        <v>267</v>
      </c>
      <c r="B6" s="105" t="s">
        <v>268</v>
      </c>
      <c r="C6" s="106">
        <f>Rozpis_Příjmy!BO111</f>
        <v>514500</v>
      </c>
      <c r="D6" s="106">
        <f>Rozpis_Příjmy!CN111</f>
        <v>593640</v>
      </c>
      <c r="E6" s="106">
        <f>Rozpis_Příjmy!CP111</f>
        <v>435708.33</v>
      </c>
      <c r="F6" s="106">
        <f>Rozpis_Příjmy!CR111</f>
        <v>514800</v>
      </c>
      <c r="G6" s="201">
        <f t="shared" ref="G6:G9" si="0">F6/C6-1</f>
        <v>5.8309037900872163E-4</v>
      </c>
      <c r="H6" s="201">
        <f t="shared" ref="H6:H14" si="1">F6/E6-1</f>
        <v>0.18152434680328455</v>
      </c>
    </row>
    <row r="7" spans="1:9">
      <c r="A7" s="105" t="s">
        <v>269</v>
      </c>
      <c r="B7" s="105" t="s">
        <v>270</v>
      </c>
      <c r="C7" s="106">
        <f>Rozpis_Příjmy!BO89</f>
        <v>40000</v>
      </c>
      <c r="D7" s="106">
        <f>Rozpis_Příjmy!CN89</f>
        <v>70000</v>
      </c>
      <c r="E7" s="106">
        <f>Rozpis_Příjmy!CP89</f>
        <v>59144</v>
      </c>
      <c r="F7" s="106">
        <f>Rozpis_Příjmy!CR89</f>
        <v>30000</v>
      </c>
      <c r="G7" s="201">
        <f t="shared" si="0"/>
        <v>-0.25</v>
      </c>
      <c r="H7" s="201">
        <f t="shared" si="1"/>
        <v>-0.49276342486135538</v>
      </c>
    </row>
    <row r="8" spans="1:9">
      <c r="A8" s="105" t="s">
        <v>271</v>
      </c>
      <c r="B8" s="105" t="s">
        <v>272</v>
      </c>
      <c r="C8" s="106">
        <f>Rozpis_Příjmy!BO33</f>
        <v>1228300</v>
      </c>
      <c r="D8" s="106">
        <f>Rozpis_Příjmy!CN33</f>
        <v>1377347.88</v>
      </c>
      <c r="E8" s="106">
        <f>Rozpis_Příjmy!CP33</f>
        <v>1377347.92</v>
      </c>
      <c r="F8" s="106">
        <f>Rozpis_Příjmy!CR33</f>
        <v>365188.89</v>
      </c>
      <c r="G8" s="201">
        <f t="shared" si="0"/>
        <v>-0.7026875437596678</v>
      </c>
      <c r="H8" s="201">
        <f t="shared" si="1"/>
        <v>-0.73486082586889157</v>
      </c>
    </row>
    <row r="9" spans="1:9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G9" s="202">
        <f t="shared" si="0"/>
        <v>-2.3605232775966156E-2</v>
      </c>
      <c r="H9" s="203">
        <f t="shared" si="1"/>
        <v>-7.362363556522733E-2</v>
      </c>
    </row>
    <row r="10" spans="1:9">
      <c r="H10" s="201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209"/>
      <c r="H11" s="210"/>
    </row>
    <row r="12" spans="1:9">
      <c r="A12" s="105" t="s">
        <v>274</v>
      </c>
      <c r="B12" s="105" t="s">
        <v>275</v>
      </c>
      <c r="C12" s="106">
        <f>Rozpis_Výdaje!BM332</f>
        <v>7195600</v>
      </c>
      <c r="D12" s="106">
        <f>Rozpis_Výdaje!CY332</f>
        <v>7479854.8899999997</v>
      </c>
      <c r="E12" s="106">
        <f>Rozpis_Výdaje!DA332</f>
        <v>7594747.4400000004</v>
      </c>
      <c r="F12" s="106">
        <f>Rozpis_Výdaje!DC332</f>
        <v>6251689.0999999996</v>
      </c>
      <c r="G12" s="201">
        <f t="shared" ref="G12:G14" si="2">F12/C12-1</f>
        <v>-0.13117890099505258</v>
      </c>
      <c r="H12" s="201">
        <f t="shared" si="1"/>
        <v>-0.17684042170071168</v>
      </c>
    </row>
    <row r="13" spans="1:9">
      <c r="A13" s="105" t="s">
        <v>276</v>
      </c>
      <c r="B13" s="105" t="s">
        <v>277</v>
      </c>
      <c r="C13" s="106">
        <f>Rozpis_Výdaje!BM335</f>
        <v>2057900</v>
      </c>
      <c r="D13" s="106">
        <f>Rozpis_Výdaje!CY335</f>
        <v>2482600</v>
      </c>
      <c r="E13" s="106">
        <f>Rozpis_Výdaje!DA335</f>
        <v>2481231</v>
      </c>
      <c r="F13" s="106">
        <f>Rozpis_Výdaje!DC335</f>
        <v>539700</v>
      </c>
      <c r="G13" s="201">
        <f t="shared" si="2"/>
        <v>-0.73774235871519511</v>
      </c>
      <c r="H13" s="201">
        <f t="shared" si="1"/>
        <v>-0.78248699939667044</v>
      </c>
      <c r="I13" s="105" t="s">
        <v>457</v>
      </c>
    </row>
    <row r="14" spans="1:9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G14" s="202">
        <f t="shared" si="2"/>
        <v>-0.26607347490138866</v>
      </c>
      <c r="H14" s="203">
        <f t="shared" si="1"/>
        <v>-0.32598217230802262</v>
      </c>
    </row>
    <row r="16" spans="1:9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G16" s="205"/>
    </row>
    <row r="17" spans="1:8">
      <c r="G17" s="205"/>
    </row>
    <row r="18" spans="1:8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205"/>
    </row>
    <row r="19" spans="1:8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G19" s="205"/>
    </row>
    <row r="20" spans="1:8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G20" s="205"/>
    </row>
    <row r="21" spans="1:8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G21" s="205"/>
    </row>
    <row r="22" spans="1:8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G22" s="205"/>
    </row>
    <row r="23" spans="1:8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3">SUM(D19:D22)</f>
        <v>2161967</v>
      </c>
      <c r="E23" s="116">
        <f t="shared" si="3"/>
        <v>2480374</v>
      </c>
      <c r="F23" s="116">
        <f>F19+F21+F22+F20</f>
        <v>-245000</v>
      </c>
      <c r="G23" s="205"/>
      <c r="H23" s="208"/>
    </row>
    <row r="25" spans="1:8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</row>
    <row r="26" spans="1:8">
      <c r="D26" s="105" t="s">
        <v>457</v>
      </c>
    </row>
    <row r="27" spans="1:8">
      <c r="A27" s="104" t="s">
        <v>592</v>
      </c>
      <c r="B27" s="132"/>
      <c r="E27" s="219" t="s">
        <v>461</v>
      </c>
    </row>
    <row r="28" spans="1:8">
      <c r="A28" s="104"/>
      <c r="E28" s="219" t="s">
        <v>462</v>
      </c>
    </row>
    <row r="29" spans="1:8">
      <c r="A29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93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B2423-9221-44AE-B1C1-8E41B4B90513}">
  <dimension ref="A1:C8"/>
  <sheetViews>
    <sheetView workbookViewId="0">
      <selection activeCell="H27" sqref="H27"/>
    </sheetView>
  </sheetViews>
  <sheetFormatPr defaultRowHeight="15"/>
  <cols>
    <col min="1" max="1" width="16.85546875" customWidth="1"/>
  </cols>
  <sheetData>
    <row r="1" spans="1:3">
      <c r="B1">
        <v>2025</v>
      </c>
    </row>
    <row r="2" spans="1:3">
      <c r="A2" s="15" t="s">
        <v>583</v>
      </c>
      <c r="B2" s="15">
        <v>61123</v>
      </c>
      <c r="C2" s="15">
        <f>B2*12</f>
        <v>733476</v>
      </c>
    </row>
    <row r="3" spans="1:3">
      <c r="A3" s="15" t="s">
        <v>584</v>
      </c>
      <c r="B3" s="15">
        <v>13026</v>
      </c>
      <c r="C3" s="15">
        <f t="shared" ref="C3:C5" si="0">B3*12</f>
        <v>156312</v>
      </c>
    </row>
    <row r="4" spans="1:3">
      <c r="A4" s="15" t="s">
        <v>585</v>
      </c>
      <c r="B4" s="15">
        <v>650</v>
      </c>
      <c r="C4" s="15">
        <f t="shared" si="0"/>
        <v>7800</v>
      </c>
    </row>
    <row r="5" spans="1:3">
      <c r="A5" s="15" t="s">
        <v>586</v>
      </c>
      <c r="B5" s="15">
        <v>650</v>
      </c>
      <c r="C5" s="15">
        <f t="shared" si="0"/>
        <v>7800</v>
      </c>
    </row>
    <row r="6" spans="1:3">
      <c r="A6" s="15" t="s">
        <v>587</v>
      </c>
      <c r="B6" s="15">
        <v>500</v>
      </c>
      <c r="C6" s="15">
        <f>B6*5*12</f>
        <v>30000</v>
      </c>
    </row>
    <row r="7" spans="1:3" ht="15.75" thickBot="1">
      <c r="A7" s="15"/>
      <c r="B7" s="15"/>
      <c r="C7" s="333">
        <f>SUM(C2:C6)</f>
        <v>935388</v>
      </c>
    </row>
    <row r="8" spans="1:3" ht="15.75" thickTop="1"/>
  </sheetData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EN115"/>
  <sheetViews>
    <sheetView zoomScale="110" zoomScaleNormal="110" workbookViewId="0">
      <pane xSplit="11" ySplit="4" topLeftCell="EI90" activePane="bottomRight" state="frozen"/>
      <selection pane="topRight" activeCell="L1" sqref="L1"/>
      <selection pane="bottomLeft" activeCell="A5" sqref="A5"/>
      <selection pane="bottomRight" activeCell="EK104" sqref="EK104"/>
    </sheetView>
  </sheetViews>
  <sheetFormatPr defaultRowHeight="15" outlineLevelRow="1" outlineLevelCol="2"/>
  <cols>
    <col min="1" max="1" width="8.28515625" customWidth="1"/>
    <col min="2" max="2" width="7.85546875" customWidth="1"/>
    <col min="3" max="3" width="49.7109375" customWidth="1"/>
    <col min="4" max="4" width="11.42578125" hidden="1" customWidth="1" outlineLevel="1"/>
    <col min="5" max="5" width="8.28515625" style="31" hidden="1" customWidth="1" outlineLevel="1"/>
    <col min="6" max="6" width="11.5703125" hidden="1" customWidth="1" outlineLevel="1"/>
    <col min="7" max="7" width="8.28515625" style="31" hidden="1" customWidth="1" outlineLevel="1"/>
    <col min="8" max="9" width="12.42578125" hidden="1" customWidth="1" outlineLevel="1"/>
    <col min="10" max="10" width="2.85546875" hidden="1" customWidth="1" outlineLevel="1"/>
    <col min="11" max="11" width="11.85546875" style="15" hidden="1" customWidth="1" outlineLevel="1"/>
    <col min="12" max="12" width="12.140625" style="118" hidden="1" customWidth="1" outlineLevel="1" collapsed="1"/>
    <col min="13" max="15" width="9.140625" hidden="1" customWidth="1" outlineLevel="2"/>
    <col min="16" max="17" width="12.28515625" hidden="1" customWidth="1" outlineLevel="2"/>
    <col min="18" max="18" width="11.7109375" hidden="1" customWidth="1" outlineLevel="2"/>
    <col min="19" max="19" width="9.140625" hidden="1" customWidth="1" outlineLevel="2"/>
    <col min="20" max="20" width="0" hidden="1" customWidth="1" outlineLevel="1" collapsed="1"/>
    <col min="21" max="21" width="15.85546875" style="118" hidden="1" customWidth="1" outlineLevel="2"/>
    <col min="22" max="22" width="9.140625" hidden="1" customWidth="1" outlineLevel="2"/>
    <col min="23" max="23" width="4" hidden="1" customWidth="1" outlineLevel="2"/>
    <col min="24" max="24" width="11.140625" style="125" hidden="1" customWidth="1" outlineLevel="2"/>
    <col min="25" max="25" width="3.28515625" hidden="1" customWidth="1" outlineLevel="2"/>
    <col min="26" max="26" width="11.7109375" style="118" hidden="1" customWidth="1" outlineLevel="2"/>
    <col min="27" max="27" width="2.85546875" hidden="1" customWidth="1" outlineLevel="2"/>
    <col min="28" max="28" width="8.140625" hidden="1" customWidth="1" outlineLevel="2"/>
    <col min="29" max="29" width="4.7109375" hidden="1" customWidth="1" outlineLevel="2"/>
    <col min="30" max="30" width="11.7109375" style="118" hidden="1" customWidth="1" outlineLevel="2"/>
    <col min="31" max="31" width="2.5703125" hidden="1" customWidth="1" outlineLevel="2"/>
    <col min="32" max="32" width="8.140625" hidden="1" customWidth="1" outlineLevel="2"/>
    <col min="33" max="33" width="5.7109375" hidden="1" customWidth="1" outlineLevel="2"/>
    <col min="34" max="34" width="11.140625" style="118" hidden="1" customWidth="1" outlineLevel="1" collapsed="1"/>
    <col min="35" max="35" width="2.5703125" hidden="1" customWidth="1" outlineLevel="1"/>
    <col min="36" max="36" width="7" hidden="1" customWidth="1" outlineLevel="1"/>
    <col min="37" max="37" width="2.42578125" hidden="1" customWidth="1" outlineLevel="1"/>
    <col min="38" max="38" width="13.42578125" style="15" hidden="1" customWidth="1" outlineLevel="1"/>
    <col min="39" max="39" width="1.5703125" hidden="1" customWidth="1" outlineLevel="1"/>
    <col min="40" max="40" width="13.42578125" style="15" hidden="1" customWidth="1" outlineLevel="1"/>
    <col min="41" max="43" width="0" hidden="1" customWidth="1" outlineLevel="1"/>
    <col min="44" max="44" width="9.140625" hidden="1" customWidth="1" outlineLevel="2"/>
    <col min="45" max="45" width="9.5703125" hidden="1" customWidth="1" outlineLevel="2"/>
    <col min="46" max="50" width="9.140625" hidden="1" customWidth="1" outlineLevel="2"/>
    <col min="51" max="51" width="0" hidden="1" customWidth="1" outlineLevel="1" collapsed="1"/>
    <col min="52" max="53" width="9.140625" hidden="1" customWidth="1" outlineLevel="2"/>
    <col min="54" max="54" width="6" hidden="1" customWidth="1" outlineLevel="2"/>
    <col min="55" max="60" width="9.140625" hidden="1" customWidth="1" outlineLevel="2"/>
    <col min="61" max="61" width="9.85546875" style="15" hidden="1" customWidth="1" outlineLevel="1" collapsed="1"/>
    <col min="62" max="62" width="15.7109375" hidden="1" customWidth="1" outlineLevel="1"/>
    <col min="63" max="63" width="2.5703125" hidden="1" customWidth="1" outlineLevel="1"/>
    <col min="64" max="64" width="11" style="15" hidden="1" customWidth="1" outlineLevel="1"/>
    <col min="65" max="65" width="8.28515625" style="234" hidden="1" customWidth="1" outlineLevel="1"/>
    <col min="66" max="66" width="2.5703125" hidden="1" customWidth="1" outlineLevel="1"/>
    <col min="67" max="67" width="9.85546875" style="15" hidden="1" customWidth="1" outlineLevel="1"/>
    <col min="68" max="68" width="8.85546875" style="31" hidden="1" customWidth="1" outlineLevel="1"/>
    <col min="69" max="69" width="3.42578125" hidden="1" customWidth="1" outlineLevel="1"/>
    <col min="70" max="70" width="9.140625" style="15" hidden="1" customWidth="1" outlineLevel="2"/>
    <col min="71" max="71" width="16.140625" hidden="1" customWidth="1" outlineLevel="2"/>
    <col min="72" max="72" width="5.140625" hidden="1" customWidth="1" outlineLevel="2"/>
    <col min="73" max="73" width="9.140625" style="15" hidden="1" customWidth="1" outlineLevel="2"/>
    <col min="74" max="74" width="14.42578125" hidden="1" customWidth="1" outlineLevel="2"/>
    <col min="75" max="75" width="4.5703125" hidden="1" customWidth="1" outlineLevel="2"/>
    <col min="76" max="76" width="9.140625" style="15" hidden="1" customWidth="1" outlineLevel="2"/>
    <col min="77" max="77" width="14.42578125" hidden="1" customWidth="1" outlineLevel="2"/>
    <col min="78" max="78" width="9.140625" hidden="1" customWidth="1" outlineLevel="2"/>
    <col min="79" max="79" width="9.140625" style="15" hidden="1" customWidth="1" outlineLevel="2"/>
    <col min="80" max="80" width="14.42578125" hidden="1" customWidth="1" outlineLevel="2"/>
    <col min="81" max="81" width="6.28515625" hidden="1" customWidth="1" outlineLevel="2"/>
    <col min="82" max="82" width="9.140625" style="15" hidden="1" customWidth="1" outlineLevel="2"/>
    <col min="83" max="83" width="14.42578125" hidden="1" customWidth="1" outlineLevel="2"/>
    <col min="84" max="84" width="4" hidden="1" customWidth="1" outlineLevel="1" collapsed="1"/>
    <col min="85" max="85" width="9.140625" style="15" hidden="1" customWidth="1" outlineLevel="2"/>
    <col min="86" max="86" width="14.42578125" hidden="1" customWidth="1" outlineLevel="2"/>
    <col min="87" max="87" width="2.5703125" hidden="1" customWidth="1" outlineLevel="2"/>
    <col min="88" max="88" width="9.140625" style="15" hidden="1" customWidth="1" outlineLevel="2"/>
    <col min="89" max="89" width="14.42578125" hidden="1" customWidth="1" outlineLevel="2"/>
    <col min="90" max="90" width="4.42578125" hidden="1" customWidth="1" outlineLevel="2"/>
    <col min="91" max="91" width="11.85546875" style="15" hidden="1" customWidth="1" outlineLevel="1" collapsed="1"/>
    <col min="92" max="92" width="14.140625" hidden="1" customWidth="1" outlineLevel="1"/>
    <col min="93" max="93" width="2.5703125" hidden="1" customWidth="1" outlineLevel="1"/>
    <col min="94" max="94" width="12.28515625" style="15" hidden="1" customWidth="1" outlineLevel="1"/>
    <col min="95" max="95" width="3.140625" hidden="1" customWidth="1" outlineLevel="1"/>
    <col min="96" max="96" width="9.85546875" style="15" hidden="1" customWidth="1" outlineLevel="1"/>
    <col min="97" max="97" width="8.85546875" style="31" hidden="1" customWidth="1" outlineLevel="1"/>
    <col min="98" max="98" width="3" hidden="1" customWidth="1" outlineLevel="1"/>
    <col min="99" max="99" width="11.85546875" style="15" hidden="1" customWidth="1" outlineLevel="2"/>
    <col min="100" max="100" width="14.140625" hidden="1" customWidth="1" outlineLevel="2"/>
    <col min="101" max="101" width="1.140625" hidden="1" customWidth="1" outlineLevel="2"/>
    <col min="102" max="102" width="11.85546875" style="15" hidden="1" customWidth="1" outlineLevel="2"/>
    <col min="103" max="103" width="12" hidden="1" customWidth="1" outlineLevel="2"/>
    <col min="104" max="104" width="3.140625" hidden="1" customWidth="1" outlineLevel="2"/>
    <col min="105" max="105" width="11.85546875" style="15" hidden="1" customWidth="1" outlineLevel="2"/>
    <col min="106" max="106" width="12" hidden="1" customWidth="1" outlineLevel="2"/>
    <col min="107" max="107" width="3.85546875" hidden="1" customWidth="1" outlineLevel="2"/>
    <col min="108" max="108" width="11.85546875" style="15" hidden="1" customWidth="1" outlineLevel="2"/>
    <col min="109" max="109" width="12" hidden="1" customWidth="1" outlineLevel="2"/>
    <col min="110" max="110" width="3.28515625" hidden="1" customWidth="1" outlineLevel="2"/>
    <col min="111" max="111" width="11.85546875" style="15" hidden="1" customWidth="1" outlineLevel="2"/>
    <col min="112" max="112" width="12" hidden="1" customWidth="1" outlineLevel="2"/>
    <col min="113" max="113" width="9.140625" hidden="1" customWidth="1" outlineLevel="2"/>
    <col min="114" max="114" width="11.85546875" style="15" hidden="1" customWidth="1" outlineLevel="2"/>
    <col min="115" max="115" width="12" hidden="1" customWidth="1" outlineLevel="2"/>
    <col min="116" max="116" width="9.140625" hidden="1" customWidth="1" outlineLevel="2"/>
    <col min="117" max="117" width="11.85546875" style="15" hidden="1" customWidth="1" outlineLevel="2"/>
    <col min="118" max="118" width="12" hidden="1" customWidth="1" outlineLevel="2"/>
    <col min="119" max="119" width="4.140625" hidden="1" customWidth="1" outlineLevel="1"/>
    <col min="120" max="120" width="11.85546875" style="15" hidden="1" customWidth="1" outlineLevel="1"/>
    <col min="121" max="121" width="12" hidden="1" customWidth="1" outlineLevel="1"/>
    <col min="122" max="122" width="2.28515625" hidden="1" customWidth="1" outlineLevel="1"/>
    <col min="123" max="123" width="11.85546875" style="15" hidden="1" customWidth="1" outlineLevel="1"/>
    <col min="124" max="124" width="2.7109375" hidden="1" customWidth="1" outlineLevel="1"/>
    <col min="125" max="125" width="11.85546875" style="15" hidden="1" customWidth="1" outlineLevel="1"/>
    <col min="126" max="126" width="0" hidden="1" customWidth="1" outlineLevel="1"/>
    <col min="127" max="127" width="11.85546875" style="15" hidden="1" customWidth="1" outlineLevel="2"/>
    <col min="128" max="128" width="12" hidden="1" customWidth="1" outlineLevel="2"/>
    <col min="129" max="129" width="2.28515625" hidden="1" customWidth="1" outlineLevel="2"/>
    <col min="130" max="130" width="11.85546875" style="15" hidden="1" customWidth="1" outlineLevel="2"/>
    <col min="131" max="131" width="12" hidden="1" customWidth="1" outlineLevel="2"/>
    <col min="132" max="132" width="2.85546875" hidden="1" customWidth="1" outlineLevel="2"/>
    <col min="133" max="133" width="11.85546875" style="15" hidden="1" customWidth="1" outlineLevel="2"/>
    <col min="134" max="134" width="12" hidden="1" customWidth="1" outlineLevel="2"/>
    <col min="135" max="135" width="3.140625" hidden="1" customWidth="1" outlineLevel="2"/>
    <col min="136" max="136" width="11.85546875" style="15" hidden="1" customWidth="1" outlineLevel="2"/>
    <col min="137" max="137" width="12" hidden="1" customWidth="1" outlineLevel="2"/>
    <col min="138" max="138" width="0" hidden="1" customWidth="1" outlineLevel="1"/>
    <col min="139" max="139" width="11.85546875" style="15" customWidth="1" collapsed="1"/>
    <col min="140" max="140" width="2.7109375" customWidth="1"/>
    <col min="141" max="141" width="11.85546875" style="15" customWidth="1"/>
    <col min="144" max="144" width="9.140625" style="15"/>
  </cols>
  <sheetData>
    <row r="1" spans="1:142" ht="15.75" thickBot="1">
      <c r="A1" s="443" t="s">
        <v>283</v>
      </c>
      <c r="B1" s="444"/>
      <c r="C1" s="444"/>
      <c r="D1" s="444"/>
      <c r="E1" s="444"/>
      <c r="F1" s="444"/>
      <c r="G1" s="444"/>
      <c r="H1" s="444"/>
      <c r="K1" s="16">
        <v>0.03</v>
      </c>
      <c r="AZ1" s="15">
        <f>AZ113</f>
        <v>211541.07</v>
      </c>
      <c r="BA1" s="15">
        <f>BA113</f>
        <v>4603541.07</v>
      </c>
      <c r="BC1" s="15">
        <f>BC113</f>
        <v>0</v>
      </c>
      <c r="BD1" s="15">
        <f>BD113</f>
        <v>4603541.07</v>
      </c>
      <c r="BF1" s="15">
        <f>BF113</f>
        <v>49297.26</v>
      </c>
      <c r="BG1" s="15">
        <f>BG113</f>
        <v>4652838.33</v>
      </c>
      <c r="BI1" s="15">
        <f>BI113</f>
        <v>1092487.9100000001</v>
      </c>
      <c r="BJ1" s="15">
        <f>BJ113</f>
        <v>5745326.2400000002</v>
      </c>
      <c r="BZ1" s="145"/>
      <c r="CB1" s="15">
        <f>CB113</f>
        <v>7787728.96</v>
      </c>
      <c r="CD1" s="15">
        <f>CD113</f>
        <v>152000</v>
      </c>
      <c r="CE1" s="15">
        <f>CE113</f>
        <v>7939728.96</v>
      </c>
      <c r="CG1" s="15">
        <f>CG113</f>
        <v>0</v>
      </c>
      <c r="CH1" s="15">
        <f>CH113</f>
        <v>7939728.96</v>
      </c>
      <c r="CJ1" s="15">
        <f>CJ113</f>
        <v>102500</v>
      </c>
      <c r="CK1" s="15">
        <f>CK113</f>
        <v>8042228.96</v>
      </c>
      <c r="CM1" s="15">
        <f>CM113</f>
        <v>-241741.08</v>
      </c>
      <c r="CN1" s="15">
        <f>CN113</f>
        <v>7800487.8799999999</v>
      </c>
      <c r="CR1" s="15">
        <f>CR113</f>
        <v>7036388.8899999997</v>
      </c>
      <c r="CU1" s="15">
        <f>CU113</f>
        <v>0</v>
      </c>
      <c r="CV1" s="15">
        <f>CV113</f>
        <v>7036388.8899999997</v>
      </c>
      <c r="CX1" s="15">
        <f>CX113</f>
        <v>142761</v>
      </c>
      <c r="CY1" s="15">
        <f>CY113</f>
        <v>7179149.8899999997</v>
      </c>
      <c r="DA1" s="15">
        <f>DA113</f>
        <v>1245134</v>
      </c>
      <c r="DB1" s="15">
        <f>DB113</f>
        <v>8424283.8900000006</v>
      </c>
      <c r="DD1" s="15">
        <f>DD113</f>
        <v>138000</v>
      </c>
      <c r="DE1" s="15">
        <f>DE113</f>
        <v>8562283.8900000006</v>
      </c>
      <c r="DG1" s="15">
        <f>DG113</f>
        <v>177000</v>
      </c>
      <c r="DH1" s="15">
        <f>DH113</f>
        <v>8739283.8900000006</v>
      </c>
      <c r="DJ1" s="15">
        <f>DJ113</f>
        <v>135000</v>
      </c>
      <c r="DK1" s="15">
        <f>DK113</f>
        <v>8874283.8900000006</v>
      </c>
      <c r="DM1" s="15">
        <f>DM113</f>
        <v>-81700</v>
      </c>
      <c r="DN1" s="15">
        <f>DN113</f>
        <v>8792583.8900000006</v>
      </c>
      <c r="DP1" s="15">
        <f>DP113</f>
        <v>0</v>
      </c>
      <c r="DQ1" s="15">
        <f>DQ113</f>
        <v>8792041.8900000006</v>
      </c>
      <c r="DS1" s="15">
        <f>DS113</f>
        <v>8910928.7300000004</v>
      </c>
      <c r="DU1" s="15">
        <f>DU113</f>
        <v>7413100</v>
      </c>
      <c r="DW1" s="15">
        <f>DW113</f>
        <v>63080</v>
      </c>
      <c r="DX1" s="15">
        <f>DX113</f>
        <v>7476180</v>
      </c>
      <c r="DZ1" s="15">
        <f>DZ113</f>
        <v>360820</v>
      </c>
      <c r="EA1" s="15">
        <f>EA113</f>
        <v>7837000</v>
      </c>
      <c r="EC1" s="15">
        <f>EC113</f>
        <v>48000</v>
      </c>
      <c r="ED1" s="15">
        <f>ED113</f>
        <v>7885000</v>
      </c>
      <c r="EF1" s="15">
        <f>EF113</f>
        <v>-67539</v>
      </c>
      <c r="EG1" s="15">
        <f>EG113</f>
        <v>7817461</v>
      </c>
      <c r="EI1" s="15">
        <f>EI113</f>
        <v>7705649.9400000004</v>
      </c>
      <c r="EK1" s="15">
        <f>EK113</f>
        <v>7536900</v>
      </c>
    </row>
    <row r="2" spans="1:142" ht="18.75">
      <c r="A2" s="11"/>
      <c r="D2" s="447">
        <v>2019</v>
      </c>
      <c r="E2" s="447"/>
      <c r="F2" s="447"/>
      <c r="G2" s="447"/>
      <c r="H2" s="447"/>
      <c r="I2" s="12">
        <f>12/10</f>
        <v>1.2</v>
      </c>
      <c r="J2" s="12"/>
      <c r="L2" s="125">
        <v>2020</v>
      </c>
      <c r="P2" t="s">
        <v>389</v>
      </c>
      <c r="R2" t="s">
        <v>389</v>
      </c>
      <c r="U2" s="118" t="s">
        <v>406</v>
      </c>
      <c r="X2" s="125" t="s">
        <v>411</v>
      </c>
      <c r="Z2" s="118" t="s">
        <v>413</v>
      </c>
      <c r="AD2" s="448" t="s">
        <v>436</v>
      </c>
      <c r="AE2" s="449"/>
      <c r="AF2" s="450"/>
      <c r="AH2" s="448" t="s">
        <v>440</v>
      </c>
      <c r="AI2" s="449"/>
      <c r="AJ2" s="450"/>
      <c r="AL2" s="274">
        <v>2020</v>
      </c>
      <c r="AM2" s="192"/>
      <c r="AN2" s="274">
        <v>2021</v>
      </c>
      <c r="BL2" s="232">
        <v>2021</v>
      </c>
      <c r="BO2" s="232">
        <v>2022</v>
      </c>
      <c r="BZ2" s="145"/>
      <c r="CP2" s="232">
        <v>2022</v>
      </c>
      <c r="CR2" s="367">
        <v>2023</v>
      </c>
      <c r="DS2" s="374">
        <v>2023</v>
      </c>
      <c r="DU2" s="343">
        <v>2024</v>
      </c>
      <c r="EI2" s="343">
        <v>2024</v>
      </c>
      <c r="EK2" s="343">
        <v>2025</v>
      </c>
    </row>
    <row r="3" spans="1:142" ht="45.75" thickBot="1">
      <c r="A3" s="1" t="s">
        <v>0</v>
      </c>
      <c r="B3" s="1" t="s">
        <v>0</v>
      </c>
      <c r="C3" s="1" t="s">
        <v>0</v>
      </c>
      <c r="D3" s="1" t="s">
        <v>1</v>
      </c>
      <c r="E3" s="26" t="s">
        <v>0</v>
      </c>
      <c r="F3" s="1" t="s">
        <v>2</v>
      </c>
      <c r="G3" s="26" t="s">
        <v>0</v>
      </c>
      <c r="H3" s="2" t="s">
        <v>281</v>
      </c>
      <c r="I3" s="13" t="s">
        <v>285</v>
      </c>
      <c r="J3" s="13"/>
      <c r="L3" s="119" t="s">
        <v>2</v>
      </c>
      <c r="M3" t="s">
        <v>291</v>
      </c>
      <c r="N3" t="s">
        <v>289</v>
      </c>
      <c r="P3" s="142">
        <v>43891</v>
      </c>
      <c r="Q3" s="142"/>
      <c r="R3" s="131">
        <v>43963</v>
      </c>
      <c r="AD3" s="451"/>
      <c r="AE3" s="452"/>
      <c r="AF3" s="453"/>
      <c r="AH3" s="451"/>
      <c r="AI3" s="452"/>
      <c r="AJ3" s="453"/>
      <c r="AL3" s="118" t="s">
        <v>442</v>
      </c>
      <c r="AM3" s="125"/>
      <c r="AN3" s="118" t="s">
        <v>452</v>
      </c>
      <c r="AO3" s="15" t="s">
        <v>455</v>
      </c>
      <c r="AP3" t="s">
        <v>453</v>
      </c>
      <c r="AQ3" t="s">
        <v>454</v>
      </c>
      <c r="AZ3" t="s">
        <v>396</v>
      </c>
      <c r="BC3" t="s">
        <v>406</v>
      </c>
      <c r="BF3" t="s">
        <v>411</v>
      </c>
      <c r="BI3" s="15" t="s">
        <v>413</v>
      </c>
      <c r="BL3" s="231" t="s">
        <v>442</v>
      </c>
      <c r="BM3" s="233" t="s">
        <v>499</v>
      </c>
      <c r="BO3" s="231" t="s">
        <v>547</v>
      </c>
      <c r="BP3" s="233" t="s">
        <v>502</v>
      </c>
      <c r="BR3" s="118" t="s">
        <v>396</v>
      </c>
      <c r="BU3" s="118" t="s">
        <v>406</v>
      </c>
      <c r="BX3" s="118" t="s">
        <v>411</v>
      </c>
      <c r="BZ3" s="145" t="s">
        <v>560</v>
      </c>
      <c r="CA3" s="300" t="s">
        <v>561</v>
      </c>
      <c r="CD3" s="300" t="s">
        <v>413</v>
      </c>
      <c r="CG3" s="317" t="s">
        <v>436</v>
      </c>
      <c r="CJ3" s="317" t="s">
        <v>440</v>
      </c>
      <c r="CM3" s="317" t="s">
        <v>574</v>
      </c>
      <c r="CP3" s="231" t="s">
        <v>442</v>
      </c>
      <c r="CR3" s="300" t="s">
        <v>547</v>
      </c>
      <c r="CS3" s="233" t="s">
        <v>578</v>
      </c>
      <c r="CU3" s="300" t="s">
        <v>396</v>
      </c>
      <c r="CV3" s="131">
        <v>44984</v>
      </c>
      <c r="CX3" s="300" t="s">
        <v>406</v>
      </c>
      <c r="CY3" s="131">
        <v>45001</v>
      </c>
      <c r="DA3" s="317" t="s">
        <v>411</v>
      </c>
      <c r="DB3" s="131">
        <v>45044</v>
      </c>
      <c r="DD3" s="317" t="s">
        <v>413</v>
      </c>
      <c r="DE3" s="131">
        <v>45066</v>
      </c>
      <c r="DG3" s="317" t="s">
        <v>436</v>
      </c>
      <c r="DH3" s="370">
        <v>45124</v>
      </c>
      <c r="DJ3" s="317" t="s">
        <v>440</v>
      </c>
      <c r="DK3" s="370">
        <v>45190</v>
      </c>
      <c r="DM3" s="317" t="s">
        <v>574</v>
      </c>
      <c r="DN3" s="370">
        <v>45257</v>
      </c>
      <c r="DP3" s="317" t="s">
        <v>648</v>
      </c>
      <c r="DQ3" s="370">
        <v>45278</v>
      </c>
      <c r="DS3" s="317" t="s">
        <v>442</v>
      </c>
      <c r="DU3" s="317" t="s">
        <v>659</v>
      </c>
      <c r="DW3" s="317" t="s">
        <v>664</v>
      </c>
      <c r="DX3" s="370">
        <v>45377</v>
      </c>
      <c r="DZ3" s="317" t="s">
        <v>665</v>
      </c>
      <c r="EA3" s="370">
        <v>45408</v>
      </c>
      <c r="EC3" s="317" t="s">
        <v>674</v>
      </c>
      <c r="ED3" s="370">
        <v>45532</v>
      </c>
      <c r="EF3" s="317" t="s">
        <v>677</v>
      </c>
      <c r="EG3" s="370">
        <v>45615</v>
      </c>
      <c r="EI3" s="317" t="s">
        <v>442</v>
      </c>
      <c r="EK3" s="317" t="s">
        <v>659</v>
      </c>
    </row>
    <row r="4" spans="1:142" ht="15.75" thickBot="1">
      <c r="A4" s="1" t="s">
        <v>4</v>
      </c>
      <c r="B4" s="1" t="s">
        <v>5</v>
      </c>
      <c r="C4" s="4" t="s">
        <v>6</v>
      </c>
      <c r="D4" s="1" t="s">
        <v>7</v>
      </c>
      <c r="E4" s="26" t="s">
        <v>8</v>
      </c>
      <c r="F4" s="1" t="s">
        <v>9</v>
      </c>
      <c r="G4" s="26" t="s">
        <v>8</v>
      </c>
      <c r="H4" s="2" t="s">
        <v>282</v>
      </c>
      <c r="I4" s="13" t="s">
        <v>286</v>
      </c>
      <c r="J4" s="13"/>
      <c r="L4" s="120"/>
      <c r="M4" t="s">
        <v>288</v>
      </c>
      <c r="N4" t="s">
        <v>290</v>
      </c>
      <c r="P4" s="146">
        <v>0.1</v>
      </c>
      <c r="Q4" s="146">
        <v>0.15</v>
      </c>
      <c r="R4" s="146">
        <v>0.2</v>
      </c>
      <c r="S4" s="146">
        <v>0.28000000000000003</v>
      </c>
      <c r="AB4" s="186" t="s">
        <v>434</v>
      </c>
      <c r="AC4" s="186"/>
      <c r="AF4" s="181" t="s">
        <v>437</v>
      </c>
      <c r="AG4" s="186"/>
      <c r="AJ4" s="181" t="s">
        <v>441</v>
      </c>
      <c r="AZ4" t="s">
        <v>467</v>
      </c>
      <c r="BA4" t="s">
        <v>468</v>
      </c>
      <c r="BC4" t="s">
        <v>467</v>
      </c>
      <c r="BD4" t="s">
        <v>468</v>
      </c>
      <c r="BF4" t="s">
        <v>467</v>
      </c>
      <c r="BG4" t="s">
        <v>468</v>
      </c>
      <c r="BI4" s="15" t="s">
        <v>467</v>
      </c>
      <c r="BJ4" t="s">
        <v>468</v>
      </c>
      <c r="BR4" s="15" t="s">
        <v>467</v>
      </c>
      <c r="BS4" t="s">
        <v>468</v>
      </c>
      <c r="BU4" s="15" t="s">
        <v>467</v>
      </c>
      <c r="BV4" t="s">
        <v>468</v>
      </c>
      <c r="BX4" s="15" t="s">
        <v>467</v>
      </c>
      <c r="BY4" t="s">
        <v>468</v>
      </c>
      <c r="BZ4" s="145"/>
      <c r="CA4" s="15" t="s">
        <v>467</v>
      </c>
      <c r="CB4" t="s">
        <v>468</v>
      </c>
      <c r="CD4" s="15" t="s">
        <v>467</v>
      </c>
      <c r="CE4" t="s">
        <v>468</v>
      </c>
      <c r="CG4" s="15" t="s">
        <v>467</v>
      </c>
      <c r="CH4" t="s">
        <v>468</v>
      </c>
      <c r="CJ4" s="15" t="s">
        <v>467</v>
      </c>
      <c r="CK4" t="s">
        <v>468</v>
      </c>
      <c r="CM4" s="15" t="s">
        <v>467</v>
      </c>
      <c r="CN4" t="s">
        <v>468</v>
      </c>
      <c r="CU4" s="15" t="s">
        <v>467</v>
      </c>
      <c r="CV4" t="s">
        <v>468</v>
      </c>
      <c r="CX4" s="15" t="s">
        <v>467</v>
      </c>
      <c r="CY4" t="s">
        <v>468</v>
      </c>
      <c r="DA4" s="15" t="s">
        <v>467</v>
      </c>
      <c r="DB4" t="s">
        <v>468</v>
      </c>
      <c r="DD4" s="15" t="s">
        <v>467</v>
      </c>
      <c r="DE4" t="s">
        <v>468</v>
      </c>
      <c r="DG4" s="15" t="s">
        <v>467</v>
      </c>
      <c r="DH4" t="s">
        <v>468</v>
      </c>
      <c r="DJ4" s="15" t="s">
        <v>467</v>
      </c>
      <c r="DK4" t="s">
        <v>468</v>
      </c>
      <c r="DM4" s="15" t="s">
        <v>467</v>
      </c>
      <c r="DN4" t="s">
        <v>468</v>
      </c>
      <c r="DP4" s="15" t="s">
        <v>467</v>
      </c>
      <c r="DQ4" t="s">
        <v>468</v>
      </c>
      <c r="DW4" s="15" t="s">
        <v>467</v>
      </c>
      <c r="DX4" t="s">
        <v>468</v>
      </c>
      <c r="DZ4" s="15" t="s">
        <v>467</v>
      </c>
      <c r="EA4" t="s">
        <v>468</v>
      </c>
      <c r="EC4" s="15" t="s">
        <v>467</v>
      </c>
      <c r="ED4" t="s">
        <v>468</v>
      </c>
      <c r="EF4" s="15" t="s">
        <v>467</v>
      </c>
      <c r="EG4" t="s">
        <v>468</v>
      </c>
    </row>
    <row r="5" spans="1:142" outlineLevel="1">
      <c r="A5" s="3" t="s">
        <v>11</v>
      </c>
      <c r="B5" s="3" t="s">
        <v>12</v>
      </c>
      <c r="C5" s="5" t="s">
        <v>13</v>
      </c>
      <c r="D5" s="6">
        <v>1010000</v>
      </c>
      <c r="E5" s="27">
        <v>82.3</v>
      </c>
      <c r="F5" s="6">
        <v>1010000</v>
      </c>
      <c r="G5" s="27">
        <v>82.3</v>
      </c>
      <c r="H5" s="7">
        <v>831253.08</v>
      </c>
      <c r="I5" s="14">
        <v>1000000</v>
      </c>
      <c r="J5" s="14"/>
      <c r="K5" s="15">
        <f>I5*(1+$K$1)</f>
        <v>1030000</v>
      </c>
      <c r="L5" s="158">
        <v>1100000</v>
      </c>
      <c r="M5" s="17">
        <f>L5/F5-1</f>
        <v>8.9108910891089188E-2</v>
      </c>
      <c r="N5" s="17">
        <f>L5/I5-1</f>
        <v>0.10000000000000009</v>
      </c>
      <c r="P5" s="15">
        <f t="shared" ref="P5:P10" si="0">(L5/4)+((L5*3/4)*(1-$P$4))</f>
        <v>1017500</v>
      </c>
      <c r="Q5" s="15">
        <f t="shared" ref="Q5:Q10" si="1">(L5/4)+((L5*3/4)*(1-$Q$4))</f>
        <v>976250</v>
      </c>
      <c r="R5" s="15">
        <f t="shared" ref="R5:R10" si="2">(L5/4)+((L5*3/4)*(1-$R$4))</f>
        <v>935000</v>
      </c>
      <c r="S5" s="15">
        <f t="shared" ref="S5:S10" si="3">(L5/4)+((L5*3/4)*(1-$S$4))</f>
        <v>869000</v>
      </c>
      <c r="U5" s="118">
        <f>880000</f>
        <v>880000</v>
      </c>
      <c r="V5" s="17">
        <f>U5/L5-1</f>
        <v>-0.19999999999999996</v>
      </c>
      <c r="X5" s="118">
        <f>U5</f>
        <v>880000</v>
      </c>
      <c r="Z5" s="118">
        <v>950000</v>
      </c>
      <c r="AB5" s="187">
        <f>Z5-X5</f>
        <v>70000</v>
      </c>
      <c r="AC5" s="187"/>
      <c r="AD5" s="118">
        <v>1000000</v>
      </c>
      <c r="AE5" s="187"/>
      <c r="AF5" s="182">
        <f>AD5-Z5</f>
        <v>50000</v>
      </c>
      <c r="AG5" s="187"/>
      <c r="AH5" s="118">
        <v>1050000</v>
      </c>
      <c r="AI5" s="187"/>
      <c r="AJ5" s="182">
        <f>AH5-AD5</f>
        <v>50000</v>
      </c>
      <c r="AK5" s="118"/>
      <c r="AL5" s="15">
        <v>1049799.99</v>
      </c>
      <c r="AM5" s="189"/>
      <c r="AN5" s="227">
        <v>800000</v>
      </c>
      <c r="AO5" s="17">
        <f>AN5/L5-1</f>
        <v>-0.27272727272727271</v>
      </c>
      <c r="AP5" s="17">
        <f>AN5/AH5-1</f>
        <v>-0.23809523809523814</v>
      </c>
      <c r="AQ5" s="17">
        <f>AN5/AL5-1</f>
        <v>-0.23795007847161442</v>
      </c>
      <c r="BA5" s="15">
        <f>AN5+AZ5</f>
        <v>800000</v>
      </c>
      <c r="BD5" s="15">
        <f>BA5</f>
        <v>800000</v>
      </c>
      <c r="BG5" s="15">
        <f>BD5</f>
        <v>800000</v>
      </c>
      <c r="BI5" s="15">
        <v>-60000</v>
      </c>
      <c r="BJ5" s="15">
        <f>BG5+BI5</f>
        <v>740000</v>
      </c>
      <c r="BL5" s="15">
        <v>776923.65</v>
      </c>
      <c r="BM5" s="235">
        <f>BL5/BJ5</f>
        <v>1.0498968243243243</v>
      </c>
      <c r="BO5" s="15">
        <v>800000</v>
      </c>
      <c r="BP5" s="235">
        <f>BO5/BL5</f>
        <v>1.0297022107642109</v>
      </c>
      <c r="BS5" s="15">
        <f>BO5+BR5</f>
        <v>800000</v>
      </c>
      <c r="BV5" s="15">
        <f t="shared" ref="BV5:BV21" si="4">BS5+BU5</f>
        <v>800000</v>
      </c>
      <c r="BY5" s="15">
        <f t="shared" ref="BY5:BY11" si="5">BV5+BX5</f>
        <v>800000</v>
      </c>
      <c r="BZ5" s="145"/>
      <c r="CB5" s="15">
        <f t="shared" ref="CB5:CB10" si="6">BY5+CA5</f>
        <v>800000</v>
      </c>
      <c r="CE5" s="15">
        <f t="shared" ref="CE5:CE10" si="7">CB5+CD5</f>
        <v>800000</v>
      </c>
      <c r="CH5" s="15">
        <f t="shared" ref="CH5:CH10" si="8">CE5+CG5</f>
        <v>800000</v>
      </c>
      <c r="CJ5" s="227">
        <v>10000</v>
      </c>
      <c r="CK5" s="15">
        <f t="shared" ref="CK5:CK10" si="9">CH5+CJ5</f>
        <v>810000</v>
      </c>
      <c r="CN5" s="15">
        <f t="shared" ref="CN5:CN10" si="10">CK5+CM5</f>
        <v>810000</v>
      </c>
      <c r="CP5" s="15">
        <v>809558.57</v>
      </c>
      <c r="CR5" s="15">
        <v>850000</v>
      </c>
      <c r="CS5" s="235">
        <f>CR5/CP5</f>
        <v>1.0499549155535468</v>
      </c>
      <c r="CV5" s="15">
        <f>CR5+CU5</f>
        <v>850000</v>
      </c>
      <c r="CY5" s="15">
        <f t="shared" ref="CY5:CY21" si="11">CV5+CX5</f>
        <v>850000</v>
      </c>
      <c r="DB5" s="15">
        <f t="shared" ref="DB5:DB21" si="12">CY5+DA5</f>
        <v>850000</v>
      </c>
      <c r="DE5" s="15">
        <f t="shared" ref="DE5:DE21" si="13">DB5+DD5</f>
        <v>850000</v>
      </c>
      <c r="DH5" s="15">
        <f t="shared" ref="DH5:DH21" si="14">DE5+DG5</f>
        <v>850000</v>
      </c>
      <c r="DJ5" s="227">
        <v>70000</v>
      </c>
      <c r="DK5" s="15">
        <f t="shared" ref="DK5:DK21" si="15">DH5+DJ5</f>
        <v>920000</v>
      </c>
      <c r="DM5" s="227">
        <v>-15000</v>
      </c>
      <c r="DN5" s="15">
        <f t="shared" ref="DN5:DN21" si="16">DK5+DM5</f>
        <v>905000</v>
      </c>
      <c r="DQ5" s="15">
        <f t="shared" ref="DQ5:DQ21" si="17">DN5+DP5</f>
        <v>905000</v>
      </c>
      <c r="DS5" s="15">
        <v>905416.76</v>
      </c>
      <c r="DU5" s="15">
        <v>965000</v>
      </c>
      <c r="DV5" s="235">
        <f>DU5/DS5</f>
        <v>1.0658075293415157</v>
      </c>
      <c r="DX5" s="15">
        <f t="shared" ref="DX5:DX21" si="18">DU5+DW5</f>
        <v>965000</v>
      </c>
      <c r="EA5" s="15">
        <f t="shared" ref="EA5:EA21" si="19">DX5+DZ5</f>
        <v>965000</v>
      </c>
      <c r="ED5" s="15">
        <f t="shared" ref="ED5:ED21" si="20">EA5+EC5</f>
        <v>965000</v>
      </c>
      <c r="EG5" s="15">
        <f t="shared" ref="EG5:EG21" si="21">ED5+EF5</f>
        <v>965000</v>
      </c>
      <c r="EI5" s="15">
        <v>993685</v>
      </c>
      <c r="EK5" s="15">
        <v>1040000</v>
      </c>
      <c r="EL5" s="235">
        <f>EK5/EI5</f>
        <v>1.046609337969276</v>
      </c>
    </row>
    <row r="6" spans="1:142" outlineLevel="1">
      <c r="A6" s="1" t="s">
        <v>11</v>
      </c>
      <c r="B6" s="1" t="s">
        <v>14</v>
      </c>
      <c r="C6" s="4" t="s">
        <v>15</v>
      </c>
      <c r="D6" s="8">
        <v>23000</v>
      </c>
      <c r="E6" s="28">
        <v>84.16</v>
      </c>
      <c r="F6" s="8">
        <v>23000</v>
      </c>
      <c r="G6" s="28">
        <v>84.16</v>
      </c>
      <c r="H6" s="9">
        <v>19356.05</v>
      </c>
      <c r="I6" s="14">
        <v>24000</v>
      </c>
      <c r="J6" s="14"/>
      <c r="K6" s="15">
        <f t="shared" ref="K6:K11" si="22">I6*(1+$K$1)</f>
        <v>24720</v>
      </c>
      <c r="L6" s="158">
        <v>25000</v>
      </c>
      <c r="M6" s="17">
        <f t="shared" ref="M6:M16" si="23">L6/F6-1</f>
        <v>8.6956521739130377E-2</v>
      </c>
      <c r="N6" s="17">
        <f t="shared" ref="N6:N21" si="24">L6/I6-1</f>
        <v>4.1666666666666741E-2</v>
      </c>
      <c r="P6" s="15">
        <f t="shared" si="0"/>
        <v>23125</v>
      </c>
      <c r="Q6" s="15">
        <f t="shared" si="1"/>
        <v>22187.5</v>
      </c>
      <c r="R6" s="15">
        <f t="shared" si="2"/>
        <v>21250</v>
      </c>
      <c r="S6" s="15">
        <f t="shared" si="3"/>
        <v>19750</v>
      </c>
      <c r="U6" s="118">
        <v>15000</v>
      </c>
      <c r="V6" s="17">
        <f t="shared" ref="V6:V21" si="25">U6/L6-1</f>
        <v>-0.4</v>
      </c>
      <c r="X6" s="118">
        <f t="shared" ref="X6:X21" si="26">U6</f>
        <v>15000</v>
      </c>
      <c r="Z6" s="118">
        <v>9420</v>
      </c>
      <c r="AB6" s="187">
        <f t="shared" ref="AB6:AB21" si="27">Z6-X6</f>
        <v>-5580</v>
      </c>
      <c r="AC6" s="187"/>
      <c r="AD6" s="118">
        <v>17000</v>
      </c>
      <c r="AE6" s="187"/>
      <c r="AF6" s="182">
        <f t="shared" ref="AF6:AF21" si="28">AD6-Z6</f>
        <v>7580</v>
      </c>
      <c r="AG6" s="187"/>
      <c r="AH6" s="118">
        <v>17000</v>
      </c>
      <c r="AI6" s="187"/>
      <c r="AJ6" s="182">
        <f t="shared" ref="AJ6:AJ11" si="29">AH6-AD6</f>
        <v>0</v>
      </c>
      <c r="AK6" s="118"/>
      <c r="AL6" s="15">
        <v>16969.14</v>
      </c>
      <c r="AM6" s="189"/>
      <c r="AN6" s="227">
        <v>15000</v>
      </c>
      <c r="AO6" s="17">
        <f t="shared" ref="AO6:AO21" si="30">AN6/L6-1</f>
        <v>-0.4</v>
      </c>
      <c r="AP6" s="17">
        <f t="shared" ref="AP6:AP21" si="31">AN6/AH6-1</f>
        <v>-0.11764705882352944</v>
      </c>
      <c r="AQ6" s="17">
        <f t="shared" ref="AQ6:AQ21" si="32">AN6/AL6-1</f>
        <v>-0.11604241582071928</v>
      </c>
      <c r="BA6" s="15">
        <f t="shared" ref="BA6:BA21" si="33">AN6+AZ6</f>
        <v>15000</v>
      </c>
      <c r="BD6" s="15">
        <f t="shared" ref="BD6:BD87" si="34">BA6</f>
        <v>15000</v>
      </c>
      <c r="BG6" s="15">
        <f t="shared" ref="BG6:BG21" si="35">BD6</f>
        <v>15000</v>
      </c>
      <c r="BI6" s="15">
        <v>20000</v>
      </c>
      <c r="BJ6" s="15">
        <f t="shared" ref="BJ6:BJ21" si="36">BG6+BI6</f>
        <v>35000</v>
      </c>
      <c r="BL6" s="15">
        <v>50429.01</v>
      </c>
      <c r="BM6" s="235">
        <f t="shared" ref="BM6:BM28" si="37">BL6/BJ6</f>
        <v>1.4408288571428571</v>
      </c>
      <c r="BO6" s="15">
        <v>52000</v>
      </c>
      <c r="BP6" s="235">
        <f t="shared" ref="BP6:BP8" si="38">BO6/BL6</f>
        <v>1.0311525052742458</v>
      </c>
      <c r="BS6" s="15">
        <f t="shared" ref="BS6:BS21" si="39">BO6+BR6</f>
        <v>52000</v>
      </c>
      <c r="BV6" s="15">
        <f t="shared" si="4"/>
        <v>52000</v>
      </c>
      <c r="BY6" s="15">
        <f t="shared" si="5"/>
        <v>52000</v>
      </c>
      <c r="BZ6" s="145"/>
      <c r="CB6" s="15">
        <f t="shared" si="6"/>
        <v>52000</v>
      </c>
      <c r="CD6" s="227">
        <v>9000</v>
      </c>
      <c r="CE6" s="15">
        <f t="shared" si="7"/>
        <v>61000</v>
      </c>
      <c r="CH6" s="15">
        <f t="shared" si="8"/>
        <v>61000</v>
      </c>
      <c r="CJ6" s="227">
        <v>14000</v>
      </c>
      <c r="CK6" s="15">
        <f t="shared" si="9"/>
        <v>75000</v>
      </c>
      <c r="CN6" s="15">
        <f t="shared" si="10"/>
        <v>75000</v>
      </c>
      <c r="CP6" s="15">
        <v>73969.38</v>
      </c>
      <c r="CR6" s="15">
        <v>80000</v>
      </c>
      <c r="CS6" s="235">
        <f>CR6/CP6</f>
        <v>1.0815286000774915</v>
      </c>
      <c r="CV6" s="15">
        <f t="shared" ref="CV6:CV21" si="40">CR6+CU6</f>
        <v>80000</v>
      </c>
      <c r="CY6" s="15">
        <f t="shared" si="11"/>
        <v>80000</v>
      </c>
      <c r="DB6" s="15">
        <f t="shared" si="12"/>
        <v>80000</v>
      </c>
      <c r="DE6" s="15">
        <f t="shared" si="13"/>
        <v>80000</v>
      </c>
      <c r="DH6" s="15">
        <f t="shared" si="14"/>
        <v>80000</v>
      </c>
      <c r="DK6" s="15">
        <f t="shared" si="15"/>
        <v>80000</v>
      </c>
      <c r="DM6" s="227">
        <v>-14000</v>
      </c>
      <c r="DN6" s="15">
        <f t="shared" si="16"/>
        <v>66000</v>
      </c>
      <c r="DQ6" s="15">
        <f t="shared" si="17"/>
        <v>66000</v>
      </c>
      <c r="DS6" s="15">
        <v>75857.759999999995</v>
      </c>
      <c r="DU6" s="15">
        <v>80000</v>
      </c>
      <c r="DV6" s="235">
        <f>DU6/DS6</f>
        <v>1.0546053561296829</v>
      </c>
      <c r="DX6" s="15">
        <f t="shared" si="18"/>
        <v>80000</v>
      </c>
      <c r="EA6" s="15">
        <f t="shared" si="19"/>
        <v>80000</v>
      </c>
      <c r="ED6" s="15">
        <f t="shared" si="20"/>
        <v>80000</v>
      </c>
      <c r="EF6" s="227">
        <v>-5000</v>
      </c>
      <c r="EG6" s="15">
        <f t="shared" si="21"/>
        <v>75000</v>
      </c>
      <c r="EI6" s="15">
        <v>73517</v>
      </c>
      <c r="EK6" s="15">
        <v>75000</v>
      </c>
      <c r="EL6" s="235">
        <f t="shared" ref="EL6:EL28" si="41">EK6/EI6</f>
        <v>1.0201722050682156</v>
      </c>
    </row>
    <row r="7" spans="1:142" outlineLevel="1">
      <c r="A7" s="1" t="s">
        <v>11</v>
      </c>
      <c r="B7" s="1" t="s">
        <v>16</v>
      </c>
      <c r="C7" s="4" t="s">
        <v>17</v>
      </c>
      <c r="D7" s="8">
        <v>91000</v>
      </c>
      <c r="E7" s="28">
        <v>92.03</v>
      </c>
      <c r="F7" s="8">
        <v>91000</v>
      </c>
      <c r="G7" s="28">
        <v>92.03</v>
      </c>
      <c r="H7" s="9">
        <v>83745.94</v>
      </c>
      <c r="I7" s="14">
        <v>100000</v>
      </c>
      <c r="J7" s="14"/>
      <c r="K7" s="15">
        <f t="shared" si="22"/>
        <v>103000</v>
      </c>
      <c r="L7" s="158">
        <v>101000</v>
      </c>
      <c r="M7" s="17">
        <f t="shared" si="23"/>
        <v>0.10989010989010994</v>
      </c>
      <c r="N7" s="17">
        <f t="shared" si="24"/>
        <v>1.0000000000000009E-2</v>
      </c>
      <c r="P7" s="15">
        <f t="shared" si="0"/>
        <v>93425</v>
      </c>
      <c r="Q7" s="15">
        <f t="shared" si="1"/>
        <v>89637.5</v>
      </c>
      <c r="R7" s="15">
        <f t="shared" si="2"/>
        <v>85850</v>
      </c>
      <c r="S7" s="15">
        <f t="shared" si="3"/>
        <v>79790</v>
      </c>
      <c r="U7" s="118">
        <v>90000</v>
      </c>
      <c r="V7" s="17">
        <f t="shared" si="25"/>
        <v>-0.1089108910891089</v>
      </c>
      <c r="X7" s="118">
        <f t="shared" si="26"/>
        <v>90000</v>
      </c>
      <c r="Z7" s="118">
        <v>98000</v>
      </c>
      <c r="AB7" s="187">
        <f t="shared" si="27"/>
        <v>8000</v>
      </c>
      <c r="AC7" s="187"/>
      <c r="AD7" s="118">
        <v>104000</v>
      </c>
      <c r="AE7" s="187"/>
      <c r="AF7" s="182">
        <f t="shared" si="28"/>
        <v>6000</v>
      </c>
      <c r="AG7" s="187"/>
      <c r="AH7" s="118">
        <v>104000</v>
      </c>
      <c r="AI7" s="187"/>
      <c r="AJ7" s="182">
        <f t="shared" si="29"/>
        <v>0</v>
      </c>
      <c r="AK7" s="118"/>
      <c r="AL7" s="15">
        <v>103688.41</v>
      </c>
      <c r="AM7" s="189"/>
      <c r="AN7" s="227">
        <v>80000</v>
      </c>
      <c r="AO7" s="17">
        <f t="shared" si="30"/>
        <v>-0.20792079207920788</v>
      </c>
      <c r="AP7" s="17">
        <f t="shared" si="31"/>
        <v>-0.23076923076923073</v>
      </c>
      <c r="AQ7" s="17">
        <f t="shared" si="32"/>
        <v>-0.22845764536267843</v>
      </c>
      <c r="BA7" s="15">
        <f t="shared" si="33"/>
        <v>80000</v>
      </c>
      <c r="BD7" s="15">
        <f t="shared" si="34"/>
        <v>80000</v>
      </c>
      <c r="BG7" s="15">
        <f t="shared" si="35"/>
        <v>80000</v>
      </c>
      <c r="BI7" s="15">
        <v>40000</v>
      </c>
      <c r="BJ7" s="15">
        <f t="shared" si="36"/>
        <v>120000</v>
      </c>
      <c r="BL7" s="15">
        <v>130795.64</v>
      </c>
      <c r="BM7" s="235">
        <f t="shared" si="37"/>
        <v>1.0899636666666666</v>
      </c>
      <c r="BO7" s="15">
        <v>133000</v>
      </c>
      <c r="BP7" s="235">
        <f t="shared" si="38"/>
        <v>1.0168534669810094</v>
      </c>
      <c r="BR7" s="15">
        <v>7000</v>
      </c>
      <c r="BS7" s="15">
        <f t="shared" si="39"/>
        <v>140000</v>
      </c>
      <c r="BV7" s="15">
        <f t="shared" si="4"/>
        <v>140000</v>
      </c>
      <c r="BY7" s="15">
        <f t="shared" si="5"/>
        <v>140000</v>
      </c>
      <c r="BZ7" s="145"/>
      <c r="CB7" s="15">
        <f t="shared" si="6"/>
        <v>140000</v>
      </c>
      <c r="CD7" s="227">
        <v>9000</v>
      </c>
      <c r="CE7" s="15">
        <f t="shared" si="7"/>
        <v>149000</v>
      </c>
      <c r="CH7" s="15">
        <f t="shared" si="8"/>
        <v>149000</v>
      </c>
      <c r="CJ7" s="227">
        <v>16000</v>
      </c>
      <c r="CK7" s="15">
        <f t="shared" si="9"/>
        <v>165000</v>
      </c>
      <c r="CN7" s="15">
        <f t="shared" si="10"/>
        <v>165000</v>
      </c>
      <c r="CP7" s="15">
        <v>164440.95999999999</v>
      </c>
      <c r="CR7" s="15">
        <v>175000</v>
      </c>
      <c r="CS7" s="235">
        <f>CR7/CP7</f>
        <v>1.0642117389730636</v>
      </c>
      <c r="CV7" s="15">
        <f t="shared" si="40"/>
        <v>175000</v>
      </c>
      <c r="CY7" s="15">
        <f t="shared" si="11"/>
        <v>175000</v>
      </c>
      <c r="DB7" s="15">
        <f t="shared" si="12"/>
        <v>175000</v>
      </c>
      <c r="DE7" s="15">
        <f t="shared" si="13"/>
        <v>175000</v>
      </c>
      <c r="DF7">
        <v>995684</v>
      </c>
      <c r="DH7" s="15">
        <f t="shared" si="14"/>
        <v>175000</v>
      </c>
      <c r="DJ7" s="227">
        <v>25000</v>
      </c>
      <c r="DK7" s="15">
        <f t="shared" si="15"/>
        <v>200000</v>
      </c>
      <c r="DM7" s="227">
        <f>21300+852</f>
        <v>22152</v>
      </c>
      <c r="DN7" s="15">
        <f t="shared" si="16"/>
        <v>222152</v>
      </c>
      <c r="DQ7" s="15">
        <f t="shared" si="17"/>
        <v>222152</v>
      </c>
      <c r="DS7" s="15">
        <v>219012.35</v>
      </c>
      <c r="DU7" s="15">
        <v>230000</v>
      </c>
      <c r="DV7" s="235">
        <f>DU7/DS7</f>
        <v>1.0501690886381521</v>
      </c>
      <c r="DX7" s="15">
        <f t="shared" si="18"/>
        <v>230000</v>
      </c>
      <c r="EA7" s="15">
        <f t="shared" si="19"/>
        <v>230000</v>
      </c>
      <c r="ED7" s="15">
        <f t="shared" si="20"/>
        <v>230000</v>
      </c>
      <c r="EG7" s="15">
        <f t="shared" si="21"/>
        <v>230000</v>
      </c>
      <c r="EI7" s="15">
        <v>228581.75</v>
      </c>
      <c r="EK7" s="15">
        <v>238000</v>
      </c>
      <c r="EL7" s="235">
        <f t="shared" si="41"/>
        <v>1.0412029831777909</v>
      </c>
    </row>
    <row r="8" spans="1:142" outlineLevel="1">
      <c r="A8" s="1" t="s">
        <v>11</v>
      </c>
      <c r="B8" s="1" t="s">
        <v>18</v>
      </c>
      <c r="C8" s="4" t="s">
        <v>19</v>
      </c>
      <c r="D8" s="8">
        <v>875000</v>
      </c>
      <c r="E8" s="28">
        <v>87.66</v>
      </c>
      <c r="F8" s="8">
        <v>875000</v>
      </c>
      <c r="G8" s="28">
        <v>87.66</v>
      </c>
      <c r="H8" s="9">
        <v>767029.6</v>
      </c>
      <c r="I8" s="14">
        <v>930000</v>
      </c>
      <c r="J8" s="14"/>
      <c r="K8" s="15">
        <f t="shared" si="22"/>
        <v>957900</v>
      </c>
      <c r="L8" s="158">
        <v>960000</v>
      </c>
      <c r="M8" s="17">
        <f t="shared" si="23"/>
        <v>9.7142857142857197E-2</v>
      </c>
      <c r="N8" s="17">
        <f t="shared" si="24"/>
        <v>3.2258064516129004E-2</v>
      </c>
      <c r="P8" s="15">
        <f t="shared" si="0"/>
        <v>888000</v>
      </c>
      <c r="Q8" s="15">
        <f t="shared" si="1"/>
        <v>852000</v>
      </c>
      <c r="R8" s="15">
        <f t="shared" si="2"/>
        <v>816000</v>
      </c>
      <c r="S8" s="15">
        <f t="shared" si="3"/>
        <v>758400</v>
      </c>
      <c r="U8" s="118">
        <v>670000</v>
      </c>
      <c r="V8" s="17">
        <f t="shared" si="25"/>
        <v>-0.30208333333333337</v>
      </c>
      <c r="X8" s="118">
        <f t="shared" si="26"/>
        <v>670000</v>
      </c>
      <c r="Z8" s="118">
        <v>729000</v>
      </c>
      <c r="AB8" s="187">
        <f t="shared" si="27"/>
        <v>59000</v>
      </c>
      <c r="AC8" s="187"/>
      <c r="AD8" s="118">
        <v>729000</v>
      </c>
      <c r="AE8" s="187"/>
      <c r="AF8" s="182">
        <f t="shared" si="28"/>
        <v>0</v>
      </c>
      <c r="AG8" s="187"/>
      <c r="AH8" s="118">
        <v>777000</v>
      </c>
      <c r="AI8" s="187"/>
      <c r="AJ8" s="182">
        <f t="shared" si="29"/>
        <v>48000</v>
      </c>
      <c r="AK8" s="118"/>
      <c r="AL8" s="15">
        <v>776694.5</v>
      </c>
      <c r="AM8" s="189"/>
      <c r="AN8" s="227">
        <v>700000</v>
      </c>
      <c r="AO8" s="17">
        <f t="shared" si="30"/>
        <v>-0.27083333333333337</v>
      </c>
      <c r="AP8" s="17">
        <f t="shared" si="31"/>
        <v>-9.9099099099099086E-2</v>
      </c>
      <c r="AQ8" s="17">
        <f t="shared" si="32"/>
        <v>-9.8744744555291697E-2</v>
      </c>
      <c r="BA8" s="15">
        <f t="shared" si="33"/>
        <v>700000</v>
      </c>
      <c r="BD8" s="15">
        <f t="shared" si="34"/>
        <v>700000</v>
      </c>
      <c r="BG8" s="15">
        <f t="shared" si="35"/>
        <v>700000</v>
      </c>
      <c r="BI8" s="15">
        <v>400000</v>
      </c>
      <c r="BJ8" s="15">
        <f t="shared" si="36"/>
        <v>1100000</v>
      </c>
      <c r="BL8" s="15">
        <v>1103474.74</v>
      </c>
      <c r="BM8" s="235">
        <f t="shared" si="37"/>
        <v>1.0031588545454546</v>
      </c>
      <c r="BO8" s="15">
        <v>1125000</v>
      </c>
      <c r="BP8" s="235">
        <f t="shared" si="38"/>
        <v>1.0195067990410003</v>
      </c>
      <c r="BR8" s="15">
        <v>25000</v>
      </c>
      <c r="BS8" s="15">
        <f t="shared" si="39"/>
        <v>1150000</v>
      </c>
      <c r="BV8" s="15">
        <f t="shared" si="4"/>
        <v>1150000</v>
      </c>
      <c r="BY8" s="15">
        <f t="shared" si="5"/>
        <v>1150000</v>
      </c>
      <c r="BZ8" s="145"/>
      <c r="CB8" s="15">
        <f t="shared" si="6"/>
        <v>1150000</v>
      </c>
      <c r="CE8" s="15">
        <f t="shared" si="7"/>
        <v>1150000</v>
      </c>
      <c r="CH8" s="15">
        <f t="shared" si="8"/>
        <v>1150000</v>
      </c>
      <c r="CJ8" s="227">
        <v>100000</v>
      </c>
      <c r="CK8" s="15">
        <f t="shared" si="9"/>
        <v>1250000</v>
      </c>
      <c r="CN8" s="15">
        <f t="shared" si="10"/>
        <v>1250000</v>
      </c>
      <c r="CP8" s="15">
        <v>1242496.46</v>
      </c>
      <c r="CR8" s="15">
        <v>1320000</v>
      </c>
      <c r="CS8" s="235">
        <f>CR8/CP8</f>
        <v>1.062377272286152</v>
      </c>
      <c r="CV8" s="15">
        <f t="shared" si="40"/>
        <v>1320000</v>
      </c>
      <c r="CY8" s="15">
        <f t="shared" si="11"/>
        <v>1320000</v>
      </c>
      <c r="DB8" s="15">
        <f t="shared" si="12"/>
        <v>1320000</v>
      </c>
      <c r="DE8" s="15">
        <f t="shared" si="13"/>
        <v>1320000</v>
      </c>
      <c r="DF8">
        <v>249450</v>
      </c>
      <c r="DH8" s="15">
        <f t="shared" si="14"/>
        <v>1320000</v>
      </c>
      <c r="DJ8" s="227">
        <v>60000</v>
      </c>
      <c r="DK8" s="15">
        <f t="shared" si="15"/>
        <v>1380000</v>
      </c>
      <c r="DM8" s="227">
        <v>90000</v>
      </c>
      <c r="DN8" s="15">
        <f t="shared" si="16"/>
        <v>1470000</v>
      </c>
      <c r="DQ8" s="15">
        <f t="shared" si="17"/>
        <v>1470000</v>
      </c>
      <c r="DS8" s="15">
        <v>1585871.66</v>
      </c>
      <c r="DU8" s="15">
        <v>1650000</v>
      </c>
      <c r="DV8" s="235">
        <f>DU8/DS8</f>
        <v>1.0404372822955927</v>
      </c>
      <c r="DX8" s="15">
        <f t="shared" si="18"/>
        <v>1650000</v>
      </c>
      <c r="EA8" s="15">
        <f t="shared" si="19"/>
        <v>1650000</v>
      </c>
      <c r="ED8" s="15">
        <f t="shared" si="20"/>
        <v>1650000</v>
      </c>
      <c r="EF8" s="227">
        <v>-130000</v>
      </c>
      <c r="EG8" s="15">
        <f t="shared" si="21"/>
        <v>1520000</v>
      </c>
      <c r="EI8" s="15">
        <v>1416154.45</v>
      </c>
      <c r="EK8" s="15">
        <v>1480000</v>
      </c>
      <c r="EL8" s="235">
        <f t="shared" si="41"/>
        <v>1.0450837477508192</v>
      </c>
    </row>
    <row r="9" spans="1:142" outlineLevel="1">
      <c r="A9" s="1" t="s">
        <v>11</v>
      </c>
      <c r="B9" s="1" t="s">
        <v>20</v>
      </c>
      <c r="C9" s="4" t="s">
        <v>21</v>
      </c>
      <c r="D9" s="8">
        <v>0</v>
      </c>
      <c r="E9" s="28">
        <v>0</v>
      </c>
      <c r="F9" s="8">
        <v>38380</v>
      </c>
      <c r="G9" s="28">
        <v>100</v>
      </c>
      <c r="H9" s="9">
        <v>38380</v>
      </c>
      <c r="I9" s="14">
        <v>46000</v>
      </c>
      <c r="J9" s="14"/>
      <c r="K9" s="15">
        <f t="shared" si="22"/>
        <v>47380</v>
      </c>
      <c r="L9" s="158">
        <v>48000</v>
      </c>
      <c r="M9" s="17">
        <f t="shared" si="23"/>
        <v>0.25065138092756634</v>
      </c>
      <c r="N9" s="17">
        <f t="shared" si="24"/>
        <v>4.3478260869565188E-2</v>
      </c>
      <c r="P9" s="15">
        <f t="shared" si="0"/>
        <v>44400</v>
      </c>
      <c r="Q9" s="15">
        <f t="shared" si="1"/>
        <v>42600</v>
      </c>
      <c r="R9" s="15">
        <f t="shared" si="2"/>
        <v>40800</v>
      </c>
      <c r="S9" s="15">
        <f t="shared" si="3"/>
        <v>37920</v>
      </c>
      <c r="U9" s="118">
        <v>0</v>
      </c>
      <c r="V9" s="17">
        <f t="shared" si="25"/>
        <v>-1</v>
      </c>
      <c r="X9" s="118">
        <f t="shared" si="26"/>
        <v>0</v>
      </c>
      <c r="Z9" s="118">
        <v>0</v>
      </c>
      <c r="AB9" s="187">
        <f t="shared" si="27"/>
        <v>0</v>
      </c>
      <c r="AC9" s="187"/>
      <c r="AD9" s="118">
        <v>0</v>
      </c>
      <c r="AE9" s="187"/>
      <c r="AF9" s="182">
        <f t="shared" si="28"/>
        <v>0</v>
      </c>
      <c r="AG9" s="187"/>
      <c r="AH9" s="118">
        <v>38600</v>
      </c>
      <c r="AI9" s="187"/>
      <c r="AJ9" s="182">
        <f t="shared" si="29"/>
        <v>38600</v>
      </c>
      <c r="AK9" s="118"/>
      <c r="AL9" s="15">
        <v>38570</v>
      </c>
      <c r="AM9" s="189"/>
      <c r="AN9" s="227">
        <v>0</v>
      </c>
      <c r="AO9" s="17">
        <f t="shared" si="30"/>
        <v>-1</v>
      </c>
      <c r="AP9" s="17">
        <f t="shared" si="31"/>
        <v>-1</v>
      </c>
      <c r="AQ9" s="17">
        <f t="shared" si="32"/>
        <v>-1</v>
      </c>
      <c r="BA9" s="15">
        <f t="shared" si="33"/>
        <v>0</v>
      </c>
      <c r="BD9" s="15">
        <f t="shared" si="34"/>
        <v>0</v>
      </c>
      <c r="BG9" s="15">
        <f t="shared" si="35"/>
        <v>0</v>
      </c>
      <c r="BJ9" s="15">
        <f t="shared" si="36"/>
        <v>0</v>
      </c>
      <c r="BM9" s="235"/>
      <c r="BS9" s="15">
        <f t="shared" si="39"/>
        <v>0</v>
      </c>
      <c r="BV9" s="15">
        <f t="shared" si="4"/>
        <v>0</v>
      </c>
      <c r="BY9" s="15">
        <f t="shared" si="5"/>
        <v>0</v>
      </c>
      <c r="BZ9" s="145"/>
      <c r="CB9" s="15">
        <f t="shared" si="6"/>
        <v>0</v>
      </c>
      <c r="CE9" s="15">
        <f t="shared" si="7"/>
        <v>0</v>
      </c>
      <c r="CH9" s="15">
        <f t="shared" si="8"/>
        <v>0</v>
      </c>
      <c r="CK9" s="15">
        <f t="shared" si="9"/>
        <v>0</v>
      </c>
      <c r="CN9" s="15">
        <f t="shared" si="10"/>
        <v>0</v>
      </c>
      <c r="CV9" s="15">
        <f t="shared" si="40"/>
        <v>0</v>
      </c>
      <c r="CY9" s="15">
        <f t="shared" si="11"/>
        <v>0</v>
      </c>
      <c r="DB9" s="15">
        <f t="shared" si="12"/>
        <v>0</v>
      </c>
      <c r="DE9" s="15">
        <f t="shared" si="13"/>
        <v>0</v>
      </c>
      <c r="DH9" s="15">
        <f t="shared" si="14"/>
        <v>0</v>
      </c>
      <c r="DK9" s="15">
        <f t="shared" si="15"/>
        <v>0</v>
      </c>
      <c r="DN9" s="15">
        <f t="shared" si="16"/>
        <v>0</v>
      </c>
      <c r="DQ9" s="15">
        <f t="shared" si="17"/>
        <v>0</v>
      </c>
      <c r="DS9" s="15">
        <v>0</v>
      </c>
      <c r="DU9" s="15">
        <v>0</v>
      </c>
      <c r="DV9" s="31"/>
      <c r="DW9" s="227">
        <v>63080</v>
      </c>
      <c r="DX9" s="15">
        <f t="shared" si="18"/>
        <v>63080</v>
      </c>
      <c r="EA9" s="15">
        <f t="shared" si="19"/>
        <v>63080</v>
      </c>
      <c r="ED9" s="15">
        <f t="shared" si="20"/>
        <v>63080</v>
      </c>
      <c r="EG9" s="15">
        <f t="shared" si="21"/>
        <v>63080</v>
      </c>
      <c r="EI9" s="15">
        <v>63080</v>
      </c>
      <c r="EK9" s="15">
        <v>64000</v>
      </c>
      <c r="EL9" s="235">
        <f t="shared" si="41"/>
        <v>1.014584654407102</v>
      </c>
    </row>
    <row r="10" spans="1:142" outlineLevel="1">
      <c r="A10" s="1" t="s">
        <v>11</v>
      </c>
      <c r="B10" s="1" t="s">
        <v>22</v>
      </c>
      <c r="C10" s="4" t="s">
        <v>23</v>
      </c>
      <c r="D10" s="8">
        <v>2100000</v>
      </c>
      <c r="E10" s="28">
        <v>79.510000000000005</v>
      </c>
      <c r="F10" s="8">
        <v>2100000</v>
      </c>
      <c r="G10" s="28">
        <v>79.510000000000005</v>
      </c>
      <c r="H10" s="9">
        <v>1669703.17</v>
      </c>
      <c r="I10" s="14">
        <v>2100000</v>
      </c>
      <c r="J10" s="14"/>
      <c r="K10" s="15">
        <f t="shared" si="22"/>
        <v>2163000</v>
      </c>
      <c r="L10" s="158">
        <v>2220000</v>
      </c>
      <c r="M10" s="17">
        <f t="shared" si="23"/>
        <v>5.7142857142857162E-2</v>
      </c>
      <c r="N10" s="17">
        <f t="shared" si="24"/>
        <v>5.7142857142857162E-2</v>
      </c>
      <c r="P10" s="15">
        <f t="shared" si="0"/>
        <v>2053500</v>
      </c>
      <c r="Q10" s="15">
        <f t="shared" si="1"/>
        <v>1970250</v>
      </c>
      <c r="R10" s="15">
        <f t="shared" si="2"/>
        <v>1887000</v>
      </c>
      <c r="S10" s="15">
        <f t="shared" si="3"/>
        <v>1753800</v>
      </c>
      <c r="U10" s="118">
        <v>1900000</v>
      </c>
      <c r="V10" s="17">
        <f t="shared" si="25"/>
        <v>-0.14414414414414412</v>
      </c>
      <c r="X10" s="118">
        <f t="shared" si="26"/>
        <v>1900000</v>
      </c>
      <c r="Z10" s="118">
        <v>2050000</v>
      </c>
      <c r="AB10" s="187">
        <f t="shared" si="27"/>
        <v>150000</v>
      </c>
      <c r="AC10" s="187"/>
      <c r="AD10" s="118">
        <v>2050000</v>
      </c>
      <c r="AE10" s="187"/>
      <c r="AF10" s="182">
        <f t="shared" si="28"/>
        <v>0</v>
      </c>
      <c r="AG10" s="187"/>
      <c r="AH10" s="118">
        <v>2126000</v>
      </c>
      <c r="AI10" s="187"/>
      <c r="AJ10" s="182">
        <f t="shared" si="29"/>
        <v>76000</v>
      </c>
      <c r="AK10" s="118"/>
      <c r="AL10" s="15">
        <v>2125899.85</v>
      </c>
      <c r="AM10" s="189"/>
      <c r="AN10" s="227">
        <v>2000000</v>
      </c>
      <c r="AO10" s="17">
        <f t="shared" si="30"/>
        <v>-9.9099099099099086E-2</v>
      </c>
      <c r="AP10" s="17">
        <f t="shared" si="31"/>
        <v>-5.9266227657572945E-2</v>
      </c>
      <c r="AQ10" s="17">
        <f t="shared" si="32"/>
        <v>-5.9221910194875882E-2</v>
      </c>
      <c r="BA10" s="15">
        <f t="shared" si="33"/>
        <v>2000000</v>
      </c>
      <c r="BD10" s="15">
        <f t="shared" si="34"/>
        <v>2000000</v>
      </c>
      <c r="BG10" s="15">
        <f t="shared" si="35"/>
        <v>2000000</v>
      </c>
      <c r="BI10" s="15">
        <v>350000</v>
      </c>
      <c r="BJ10" s="15">
        <f>BG10+BI10</f>
        <v>2350000</v>
      </c>
      <c r="BL10" s="15">
        <v>2468598.54</v>
      </c>
      <c r="BM10" s="235">
        <f t="shared" si="37"/>
        <v>1.0504674638297873</v>
      </c>
      <c r="BO10" s="15">
        <v>2750000</v>
      </c>
      <c r="BP10" s="235">
        <f t="shared" ref="BP10:BP16" si="42">BO10/BL10</f>
        <v>1.1139923950534298</v>
      </c>
      <c r="BR10" s="15">
        <v>50000</v>
      </c>
      <c r="BS10" s="15">
        <f t="shared" si="39"/>
        <v>2800000</v>
      </c>
      <c r="BU10" s="227">
        <v>100000</v>
      </c>
      <c r="BV10" s="15">
        <f t="shared" si="4"/>
        <v>2900000</v>
      </c>
      <c r="BY10" s="15">
        <f t="shared" si="5"/>
        <v>2900000</v>
      </c>
      <c r="BZ10" s="145"/>
      <c r="CB10" s="15">
        <f t="shared" si="6"/>
        <v>2900000</v>
      </c>
      <c r="CE10" s="15">
        <f t="shared" si="7"/>
        <v>2900000</v>
      </c>
      <c r="CH10" s="15">
        <f t="shared" si="8"/>
        <v>2900000</v>
      </c>
      <c r="CJ10" s="227">
        <v>-50000</v>
      </c>
      <c r="CK10" s="15">
        <f t="shared" si="9"/>
        <v>2850000</v>
      </c>
      <c r="CN10" s="15">
        <f t="shared" si="10"/>
        <v>2850000</v>
      </c>
      <c r="CP10" s="15">
        <v>2826386.12</v>
      </c>
      <c r="CR10" s="15">
        <v>3100000</v>
      </c>
      <c r="CS10" s="235">
        <f t="shared" ref="CS10:CS16" si="43">CR10/CP10</f>
        <v>1.0968069712994486</v>
      </c>
      <c r="CV10" s="15">
        <f t="shared" si="40"/>
        <v>3100000</v>
      </c>
      <c r="CY10" s="15">
        <f t="shared" si="11"/>
        <v>3100000</v>
      </c>
      <c r="DB10" s="15">
        <f t="shared" si="12"/>
        <v>3100000</v>
      </c>
      <c r="DE10" s="15">
        <f t="shared" si="13"/>
        <v>3100000</v>
      </c>
      <c r="DH10" s="15">
        <f t="shared" si="14"/>
        <v>3100000</v>
      </c>
      <c r="DJ10" s="227">
        <v>-50000</v>
      </c>
      <c r="DK10" s="15">
        <f t="shared" si="15"/>
        <v>3050000</v>
      </c>
      <c r="DM10" s="227">
        <f>16700-200000</f>
        <v>-183300</v>
      </c>
      <c r="DN10" s="15">
        <f t="shared" si="16"/>
        <v>2866700</v>
      </c>
      <c r="DQ10" s="15">
        <f t="shared" si="17"/>
        <v>2866700</v>
      </c>
      <c r="DS10" s="15">
        <v>2860418.82</v>
      </c>
      <c r="DU10" s="15">
        <v>2930000</v>
      </c>
      <c r="DV10" s="235">
        <f t="shared" ref="DV10:DV16" si="44">DU10/DS10</f>
        <v>1.0243255216730816</v>
      </c>
      <c r="DX10" s="15">
        <f t="shared" si="18"/>
        <v>2930000</v>
      </c>
      <c r="EA10" s="15">
        <f t="shared" si="19"/>
        <v>2930000</v>
      </c>
      <c r="ED10" s="15">
        <f t="shared" si="20"/>
        <v>2930000</v>
      </c>
      <c r="EF10" s="227">
        <v>-70000</v>
      </c>
      <c r="EG10" s="15">
        <f t="shared" si="21"/>
        <v>2860000</v>
      </c>
      <c r="EI10" s="15">
        <v>2841792.1</v>
      </c>
      <c r="EK10" s="15">
        <v>2900000</v>
      </c>
      <c r="EL10" s="235">
        <f t="shared" si="41"/>
        <v>1.0204828143480305</v>
      </c>
    </row>
    <row r="11" spans="1:142" outlineLevel="1">
      <c r="A11" s="1" t="s">
        <v>11</v>
      </c>
      <c r="B11" s="1" t="s">
        <v>24</v>
      </c>
      <c r="C11" s="4" t="s">
        <v>25</v>
      </c>
      <c r="D11" s="8">
        <v>0</v>
      </c>
      <c r="E11" s="28">
        <v>0</v>
      </c>
      <c r="F11" s="8">
        <v>18962.8</v>
      </c>
      <c r="G11" s="28">
        <v>152.63</v>
      </c>
      <c r="H11" s="9">
        <v>28943.200000000001</v>
      </c>
      <c r="I11" s="14">
        <f>H11</f>
        <v>28943.200000000001</v>
      </c>
      <c r="J11" s="14"/>
      <c r="K11" s="15">
        <f t="shared" si="22"/>
        <v>29811.496000000003</v>
      </c>
      <c r="L11" s="158">
        <v>0</v>
      </c>
      <c r="M11" s="17">
        <f t="shared" si="23"/>
        <v>-1</v>
      </c>
      <c r="N11" s="17">
        <f t="shared" si="24"/>
        <v>-1</v>
      </c>
      <c r="P11" s="15">
        <v>0</v>
      </c>
      <c r="Q11" s="15">
        <v>0</v>
      </c>
      <c r="R11" s="15">
        <v>0</v>
      </c>
      <c r="S11" s="15">
        <v>0</v>
      </c>
      <c r="U11" s="118">
        <v>19000</v>
      </c>
      <c r="V11" s="17" t="e">
        <f t="shared" si="25"/>
        <v>#DIV/0!</v>
      </c>
      <c r="X11" s="118">
        <f t="shared" si="26"/>
        <v>19000</v>
      </c>
      <c r="Z11" s="118">
        <v>29000</v>
      </c>
      <c r="AB11" s="187">
        <f t="shared" si="27"/>
        <v>10000</v>
      </c>
      <c r="AC11" s="187"/>
      <c r="AD11" s="118">
        <v>29000</v>
      </c>
      <c r="AE11" s="187"/>
      <c r="AF11" s="182">
        <f t="shared" si="28"/>
        <v>0</v>
      </c>
      <c r="AG11" s="187"/>
      <c r="AH11" s="118">
        <v>34500</v>
      </c>
      <c r="AI11" s="187"/>
      <c r="AJ11" s="182">
        <f t="shared" si="29"/>
        <v>5500</v>
      </c>
      <c r="AK11" s="118"/>
      <c r="AL11" s="15">
        <v>34453.03</v>
      </c>
      <c r="AM11" s="189"/>
      <c r="AN11" s="227">
        <v>0</v>
      </c>
      <c r="AO11" s="17"/>
      <c r="AP11" s="17">
        <f t="shared" si="31"/>
        <v>-1</v>
      </c>
      <c r="AQ11" s="17">
        <f t="shared" si="32"/>
        <v>-1</v>
      </c>
      <c r="BA11" s="15">
        <f t="shared" si="33"/>
        <v>0</v>
      </c>
      <c r="BD11" s="15">
        <f t="shared" si="34"/>
        <v>0</v>
      </c>
      <c r="BG11" s="15">
        <f t="shared" si="35"/>
        <v>0</v>
      </c>
      <c r="BI11" s="15">
        <v>19000</v>
      </c>
      <c r="BJ11" s="15">
        <f t="shared" si="36"/>
        <v>19000</v>
      </c>
      <c r="BL11" s="15">
        <v>18962.8</v>
      </c>
      <c r="BM11" s="235">
        <f t="shared" si="37"/>
        <v>0.99804210526315784</v>
      </c>
      <c r="BO11" s="15">
        <v>20000</v>
      </c>
      <c r="BP11" s="235">
        <f t="shared" si="42"/>
        <v>1.0546965637985952</v>
      </c>
      <c r="BR11" s="15">
        <v>20000</v>
      </c>
      <c r="BS11" s="15">
        <f t="shared" si="39"/>
        <v>40000</v>
      </c>
      <c r="BV11" s="15">
        <f t="shared" si="4"/>
        <v>40000</v>
      </c>
      <c r="BY11" s="15">
        <f t="shared" si="5"/>
        <v>40000</v>
      </c>
      <c r="BZ11" s="145">
        <v>4274.55</v>
      </c>
      <c r="CB11" s="15">
        <f>BY11+CA11</f>
        <v>40000</v>
      </c>
      <c r="CD11" s="227">
        <v>30000</v>
      </c>
      <c r="CE11" s="15">
        <f>CB11+CD11</f>
        <v>70000</v>
      </c>
      <c r="CH11" s="15">
        <f>CE11+CG11</f>
        <v>70000</v>
      </c>
      <c r="CJ11" s="227">
        <v>13000</v>
      </c>
      <c r="CK11" s="15">
        <f>CH11+CJ11</f>
        <v>83000</v>
      </c>
      <c r="CN11" s="15">
        <f>CK11+CM11</f>
        <v>83000</v>
      </c>
      <c r="CP11" s="15">
        <v>82469.25</v>
      </c>
      <c r="CR11" s="15">
        <v>20000</v>
      </c>
      <c r="CS11" s="235">
        <f t="shared" si="43"/>
        <v>0.24251463424246006</v>
      </c>
      <c r="CV11" s="15">
        <f t="shared" si="40"/>
        <v>20000</v>
      </c>
      <c r="CY11" s="15">
        <f t="shared" si="11"/>
        <v>20000</v>
      </c>
      <c r="DB11" s="15">
        <f t="shared" si="12"/>
        <v>20000</v>
      </c>
      <c r="DD11" s="227">
        <v>10000</v>
      </c>
      <c r="DE11" s="15">
        <f t="shared" si="13"/>
        <v>30000</v>
      </c>
      <c r="DH11" s="15">
        <f t="shared" si="14"/>
        <v>30000</v>
      </c>
      <c r="DJ11" s="227">
        <v>15000</v>
      </c>
      <c r="DK11" s="15">
        <f t="shared" si="15"/>
        <v>45000</v>
      </c>
      <c r="DM11" s="227">
        <v>-5000</v>
      </c>
      <c r="DN11" s="15">
        <f t="shared" si="16"/>
        <v>40000</v>
      </c>
      <c r="DQ11" s="15">
        <f t="shared" si="17"/>
        <v>40000</v>
      </c>
      <c r="DS11" s="15">
        <v>35903.94</v>
      </c>
      <c r="DU11" s="15">
        <v>35000</v>
      </c>
      <c r="DV11" s="235">
        <f t="shared" si="44"/>
        <v>0.97482337593032964</v>
      </c>
      <c r="DX11" s="15">
        <f t="shared" si="18"/>
        <v>35000</v>
      </c>
      <c r="EA11" s="15">
        <f t="shared" si="19"/>
        <v>35000</v>
      </c>
      <c r="ED11" s="15">
        <f t="shared" si="20"/>
        <v>35000</v>
      </c>
      <c r="EF11" s="227">
        <v>-24000</v>
      </c>
      <c r="EG11" s="15">
        <f t="shared" si="21"/>
        <v>11000</v>
      </c>
      <c r="EI11" s="15">
        <v>10190.4</v>
      </c>
      <c r="EK11" s="15">
        <v>11000</v>
      </c>
      <c r="EL11" s="235">
        <f t="shared" si="41"/>
        <v>1.0794473229706392</v>
      </c>
    </row>
    <row r="12" spans="1:142" outlineLevel="1">
      <c r="A12" s="1" t="s">
        <v>11</v>
      </c>
      <c r="B12" s="1" t="s">
        <v>26</v>
      </c>
      <c r="C12" s="4" t="s">
        <v>27</v>
      </c>
      <c r="D12" s="8">
        <v>4000</v>
      </c>
      <c r="E12" s="28">
        <v>106.25</v>
      </c>
      <c r="F12" s="8">
        <v>4000</v>
      </c>
      <c r="G12" s="28">
        <v>106.25</v>
      </c>
      <c r="H12" s="9">
        <v>4250</v>
      </c>
      <c r="I12" s="14">
        <f t="shared" ref="I12:I21" si="45">H12</f>
        <v>4250</v>
      </c>
      <c r="J12" s="14"/>
      <c r="L12" s="118">
        <v>8000</v>
      </c>
      <c r="M12" s="17">
        <f t="shared" si="23"/>
        <v>1</v>
      </c>
      <c r="N12" s="17">
        <f t="shared" si="24"/>
        <v>0.88235294117647056</v>
      </c>
      <c r="P12" s="15">
        <f t="shared" ref="P12:P21" si="46">L12</f>
        <v>8000</v>
      </c>
      <c r="Q12" s="15">
        <f t="shared" ref="Q12:Q21" si="47">P12</f>
        <v>8000</v>
      </c>
      <c r="R12" s="15">
        <f t="shared" ref="R12:R21" si="48">L12</f>
        <v>8000</v>
      </c>
      <c r="S12" s="15">
        <f t="shared" ref="S12:S21" si="49">R12</f>
        <v>8000</v>
      </c>
      <c r="U12" s="118">
        <v>7200</v>
      </c>
      <c r="V12" s="17">
        <f t="shared" si="25"/>
        <v>-9.9999999999999978E-2</v>
      </c>
      <c r="X12" s="118">
        <f t="shared" si="26"/>
        <v>7200</v>
      </c>
      <c r="Z12" s="118">
        <v>7200</v>
      </c>
      <c r="AB12" s="187">
        <f t="shared" si="27"/>
        <v>0</v>
      </c>
      <c r="AC12" s="187"/>
      <c r="AD12" s="118">
        <v>7200</v>
      </c>
      <c r="AE12" s="187"/>
      <c r="AF12" s="182"/>
      <c r="AG12" s="187"/>
      <c r="AH12" s="118">
        <v>7200</v>
      </c>
      <c r="AI12" s="187"/>
      <c r="AJ12" s="182"/>
      <c r="AK12" s="118"/>
      <c r="AL12" s="15">
        <v>7200</v>
      </c>
      <c r="AM12" s="189"/>
      <c r="AN12" s="15">
        <v>7200</v>
      </c>
      <c r="AO12" s="17">
        <f t="shared" si="30"/>
        <v>-9.9999999999999978E-2</v>
      </c>
      <c r="AP12" s="17">
        <f t="shared" si="31"/>
        <v>0</v>
      </c>
      <c r="AQ12" s="17">
        <f t="shared" si="32"/>
        <v>0</v>
      </c>
      <c r="BA12" s="15">
        <f t="shared" si="33"/>
        <v>7200</v>
      </c>
      <c r="BD12" s="15">
        <f t="shared" si="34"/>
        <v>7200</v>
      </c>
      <c r="BG12" s="15">
        <f t="shared" si="35"/>
        <v>7200</v>
      </c>
      <c r="BI12" s="15">
        <v>300</v>
      </c>
      <c r="BJ12" s="15">
        <f t="shared" si="36"/>
        <v>7500</v>
      </c>
      <c r="BL12" s="15">
        <v>7500</v>
      </c>
      <c r="BM12" s="235">
        <f t="shared" si="37"/>
        <v>1</v>
      </c>
      <c r="BO12" s="15">
        <v>7200</v>
      </c>
      <c r="BP12" s="235">
        <f t="shared" si="42"/>
        <v>0.96</v>
      </c>
      <c r="BR12" s="15">
        <v>7500</v>
      </c>
      <c r="BS12" s="15">
        <f t="shared" si="39"/>
        <v>14700</v>
      </c>
      <c r="BU12" s="227">
        <v>-7200</v>
      </c>
      <c r="BV12" s="15">
        <f>BS12+BU12</f>
        <v>7500</v>
      </c>
      <c r="BY12" s="15">
        <f>BV12+BX12</f>
        <v>7500</v>
      </c>
      <c r="BZ12" s="145">
        <v>50</v>
      </c>
      <c r="CB12" s="15">
        <f>BY12+CA12</f>
        <v>7500</v>
      </c>
      <c r="CE12" s="15">
        <f>CB12+CD12</f>
        <v>7500</v>
      </c>
      <c r="CH12" s="15">
        <f>CE12+CG12</f>
        <v>7500</v>
      </c>
      <c r="CK12" s="15">
        <f>CH12+CJ12</f>
        <v>7500</v>
      </c>
      <c r="CN12" s="15">
        <f>CK12+CM12</f>
        <v>7500</v>
      </c>
      <c r="CP12" s="15">
        <v>7575</v>
      </c>
      <c r="CR12" s="15">
        <v>7500</v>
      </c>
      <c r="CS12" s="235">
        <f t="shared" si="43"/>
        <v>0.99009900990099009</v>
      </c>
      <c r="CV12" s="15">
        <f t="shared" si="40"/>
        <v>7500</v>
      </c>
      <c r="CY12" s="15">
        <f t="shared" si="11"/>
        <v>7500</v>
      </c>
      <c r="DB12" s="15">
        <f t="shared" si="12"/>
        <v>7500</v>
      </c>
      <c r="DE12" s="15">
        <f t="shared" si="13"/>
        <v>7500</v>
      </c>
      <c r="DH12" s="15">
        <f t="shared" si="14"/>
        <v>7500</v>
      </c>
      <c r="DK12" s="15">
        <f t="shared" si="15"/>
        <v>7500</v>
      </c>
      <c r="DN12" s="15">
        <f t="shared" si="16"/>
        <v>7500</v>
      </c>
      <c r="DQ12" s="15">
        <f t="shared" si="17"/>
        <v>7500</v>
      </c>
      <c r="DS12" s="15">
        <v>7558</v>
      </c>
      <c r="DU12" s="15">
        <v>7500</v>
      </c>
      <c r="DV12" s="235">
        <f t="shared" si="44"/>
        <v>0.99232601217253247</v>
      </c>
      <c r="DX12" s="15">
        <f t="shared" si="18"/>
        <v>7500</v>
      </c>
      <c r="EA12" s="15">
        <f t="shared" si="19"/>
        <v>7500</v>
      </c>
      <c r="ED12" s="15">
        <f t="shared" si="20"/>
        <v>7500</v>
      </c>
      <c r="EF12" s="227">
        <v>434</v>
      </c>
      <c r="EG12" s="15">
        <f t="shared" si="21"/>
        <v>7934</v>
      </c>
      <c r="EI12" s="15">
        <v>7934</v>
      </c>
      <c r="EK12" s="15">
        <v>15800</v>
      </c>
      <c r="EL12" s="235">
        <f t="shared" si="41"/>
        <v>1.9914292916561633</v>
      </c>
    </row>
    <row r="13" spans="1:142" outlineLevel="1">
      <c r="A13" s="1" t="s">
        <v>11</v>
      </c>
      <c r="B13" s="1" t="s">
        <v>28</v>
      </c>
      <c r="C13" s="4" t="s">
        <v>29</v>
      </c>
      <c r="D13" s="8">
        <v>800</v>
      </c>
      <c r="E13" s="28">
        <v>12.5</v>
      </c>
      <c r="F13" s="8">
        <v>800</v>
      </c>
      <c r="G13" s="28">
        <v>12.5</v>
      </c>
      <c r="H13" s="9">
        <v>100</v>
      </c>
      <c r="I13" s="14">
        <f t="shared" si="45"/>
        <v>100</v>
      </c>
      <c r="J13" s="14"/>
      <c r="L13" s="118">
        <v>1000</v>
      </c>
      <c r="M13" s="17">
        <f t="shared" si="23"/>
        <v>0.25</v>
      </c>
      <c r="N13" s="17">
        <f t="shared" si="24"/>
        <v>9</v>
      </c>
      <c r="P13" s="15">
        <f t="shared" si="46"/>
        <v>1000</v>
      </c>
      <c r="Q13" s="15">
        <f t="shared" si="47"/>
        <v>1000</v>
      </c>
      <c r="R13" s="15">
        <f t="shared" si="48"/>
        <v>1000</v>
      </c>
      <c r="S13" s="15">
        <f t="shared" si="49"/>
        <v>1000</v>
      </c>
      <c r="U13" s="118">
        <v>15000</v>
      </c>
      <c r="V13" s="17">
        <f t="shared" si="25"/>
        <v>14</v>
      </c>
      <c r="X13" s="118">
        <f t="shared" si="26"/>
        <v>15000</v>
      </c>
      <c r="Z13" s="118">
        <v>15000</v>
      </c>
      <c r="AB13" s="187">
        <f t="shared" si="27"/>
        <v>0</v>
      </c>
      <c r="AC13" s="187"/>
      <c r="AD13" s="118">
        <v>15000</v>
      </c>
      <c r="AE13" s="187"/>
      <c r="AF13" s="182"/>
      <c r="AG13" s="187"/>
      <c r="AH13" s="118">
        <v>15000</v>
      </c>
      <c r="AI13" s="187"/>
      <c r="AJ13" s="182"/>
      <c r="AK13" s="118"/>
      <c r="AL13" s="15">
        <v>11432</v>
      </c>
      <c r="AM13" s="189"/>
      <c r="AN13" s="15">
        <v>12800</v>
      </c>
      <c r="AO13" s="17">
        <f t="shared" si="30"/>
        <v>11.8</v>
      </c>
      <c r="AP13" s="17">
        <f t="shared" si="31"/>
        <v>-0.14666666666666661</v>
      </c>
      <c r="AQ13" s="17">
        <f t="shared" si="32"/>
        <v>0.11966410076976897</v>
      </c>
      <c r="BA13" s="15">
        <f t="shared" si="33"/>
        <v>12800</v>
      </c>
      <c r="BD13" s="15">
        <f t="shared" si="34"/>
        <v>12800</v>
      </c>
      <c r="BG13" s="15">
        <f t="shared" si="35"/>
        <v>12800</v>
      </c>
      <c r="BI13" s="15">
        <v>15200</v>
      </c>
      <c r="BJ13" s="15">
        <f t="shared" si="36"/>
        <v>28000</v>
      </c>
      <c r="BL13" s="15">
        <v>24455</v>
      </c>
      <c r="BM13" s="235">
        <f t="shared" si="37"/>
        <v>0.87339285714285719</v>
      </c>
      <c r="BO13" s="15">
        <v>10000</v>
      </c>
      <c r="BP13" s="235">
        <f t="shared" si="42"/>
        <v>0.40891433244735226</v>
      </c>
      <c r="BS13" s="15">
        <f t="shared" si="39"/>
        <v>10000</v>
      </c>
      <c r="BV13" s="15">
        <f t="shared" si="4"/>
        <v>10000</v>
      </c>
      <c r="BY13" s="15">
        <f t="shared" ref="BY13:BY21" si="50">BV13+BX13</f>
        <v>10000</v>
      </c>
      <c r="BZ13" s="145"/>
      <c r="CB13" s="15">
        <f t="shared" ref="CB13:CB21" si="51">BY13+CA13</f>
        <v>10000</v>
      </c>
      <c r="CE13" s="15">
        <f t="shared" ref="CE13:CE21" si="52">CB13+CD13</f>
        <v>10000</v>
      </c>
      <c r="CH13" s="15">
        <f t="shared" ref="CH13:CH21" si="53">CE13+CG13</f>
        <v>10000</v>
      </c>
      <c r="CJ13" s="227">
        <v>-5000</v>
      </c>
      <c r="CK13" s="15">
        <f t="shared" ref="CK13:CK21" si="54">CH13+CJ13</f>
        <v>5000</v>
      </c>
      <c r="CN13" s="15">
        <f t="shared" ref="CN13:CN21" si="55">CK13+CM13</f>
        <v>5000</v>
      </c>
      <c r="CP13" s="15">
        <v>3291</v>
      </c>
      <c r="CR13" s="15">
        <v>5000</v>
      </c>
      <c r="CS13" s="235">
        <f t="shared" si="43"/>
        <v>1.5192950470981466</v>
      </c>
      <c r="CV13" s="15">
        <f t="shared" si="40"/>
        <v>5000</v>
      </c>
      <c r="CY13" s="15">
        <f t="shared" si="11"/>
        <v>5000</v>
      </c>
      <c r="DB13" s="15">
        <f t="shared" si="12"/>
        <v>5000</v>
      </c>
      <c r="DE13" s="15">
        <f t="shared" si="13"/>
        <v>5000</v>
      </c>
      <c r="DH13" s="15">
        <f t="shared" si="14"/>
        <v>5000</v>
      </c>
      <c r="DK13" s="15">
        <f t="shared" si="15"/>
        <v>5000</v>
      </c>
      <c r="DM13" s="227">
        <v>-4000</v>
      </c>
      <c r="DN13" s="15">
        <f t="shared" si="16"/>
        <v>1000</v>
      </c>
      <c r="DQ13" s="15">
        <f t="shared" si="17"/>
        <v>1000</v>
      </c>
      <c r="DS13" s="15">
        <v>618</v>
      </c>
      <c r="DU13" s="15">
        <v>5000</v>
      </c>
      <c r="DV13" s="235">
        <f t="shared" si="44"/>
        <v>8.090614886731391</v>
      </c>
      <c r="DX13" s="15">
        <f t="shared" si="18"/>
        <v>5000</v>
      </c>
      <c r="EA13" s="15">
        <f t="shared" si="19"/>
        <v>5000</v>
      </c>
      <c r="ED13" s="15">
        <f t="shared" si="20"/>
        <v>5000</v>
      </c>
      <c r="EF13" s="227">
        <v>129000</v>
      </c>
      <c r="EG13" s="15">
        <f t="shared" si="21"/>
        <v>134000</v>
      </c>
      <c r="EI13" s="15">
        <v>133657</v>
      </c>
      <c r="EK13" s="15">
        <v>5000</v>
      </c>
      <c r="EL13" s="235">
        <f t="shared" si="41"/>
        <v>3.7409189193233425E-2</v>
      </c>
    </row>
    <row r="14" spans="1:142" outlineLevel="1">
      <c r="A14" s="1" t="s">
        <v>11</v>
      </c>
      <c r="B14" s="1" t="s">
        <v>548</v>
      </c>
      <c r="C14" s="4" t="s">
        <v>549</v>
      </c>
      <c r="D14" s="8">
        <v>180000</v>
      </c>
      <c r="E14" s="28">
        <v>109.28</v>
      </c>
      <c r="F14" s="8">
        <v>192600</v>
      </c>
      <c r="G14" s="28">
        <v>102.13</v>
      </c>
      <c r="H14" s="9">
        <v>196700</v>
      </c>
      <c r="I14" s="14">
        <f>H14</f>
        <v>196700</v>
      </c>
      <c r="J14" s="14"/>
      <c r="L14" s="118">
        <v>197000</v>
      </c>
      <c r="M14" s="17">
        <f>L14/F14-1</f>
        <v>2.2845275181723856E-2</v>
      </c>
      <c r="N14" s="17">
        <f>L14/I14-1</f>
        <v>1.5251652262329163E-3</v>
      </c>
      <c r="P14" s="15">
        <f>L14</f>
        <v>197000</v>
      </c>
      <c r="Q14" s="15">
        <f>P14</f>
        <v>197000</v>
      </c>
      <c r="R14" s="15">
        <f>L14</f>
        <v>197000</v>
      </c>
      <c r="S14" s="15">
        <f>R14</f>
        <v>197000</v>
      </c>
      <c r="U14" s="118">
        <v>195000</v>
      </c>
      <c r="V14" s="17">
        <f>U14/L14-1</f>
        <v>-1.0152284263959421E-2</v>
      </c>
      <c r="X14" s="118">
        <f>U14</f>
        <v>195000</v>
      </c>
      <c r="Z14" s="118">
        <v>195000</v>
      </c>
      <c r="AB14" s="187">
        <f>Z14-X14</f>
        <v>0</v>
      </c>
      <c r="AC14" s="187"/>
      <c r="AD14" s="118">
        <v>195000</v>
      </c>
      <c r="AE14" s="187"/>
      <c r="AF14" s="182"/>
      <c r="AG14" s="187"/>
      <c r="AH14" s="118">
        <v>195000</v>
      </c>
      <c r="AI14" s="187"/>
      <c r="AJ14" s="182"/>
      <c r="AK14" s="118"/>
      <c r="AL14" s="15">
        <v>194350</v>
      </c>
      <c r="AM14" s="189"/>
      <c r="AN14" s="15">
        <f>315*600</f>
        <v>189000</v>
      </c>
      <c r="AO14" s="17">
        <f>AN14/L14-1</f>
        <v>-4.0609137055837574E-2</v>
      </c>
      <c r="AP14" s="17">
        <f>AN14/AH14-1</f>
        <v>-3.0769230769230771E-2</v>
      </c>
      <c r="AQ14" s="17">
        <f>AN14/AL14-1</f>
        <v>-2.7527656290198044E-2</v>
      </c>
      <c r="BA14" s="15">
        <f>AN14+AZ14</f>
        <v>189000</v>
      </c>
      <c r="BD14" s="15">
        <f>BA14</f>
        <v>189000</v>
      </c>
      <c r="BG14" s="15">
        <f>BD14</f>
        <v>189000</v>
      </c>
      <c r="BI14" s="15">
        <v>2000</v>
      </c>
      <c r="BJ14" s="15">
        <f>BG14+BI14</f>
        <v>191000</v>
      </c>
      <c r="BL14" s="15">
        <v>191100</v>
      </c>
      <c r="BM14" s="235">
        <f>BL14/BJ14</f>
        <v>1.000523560209424</v>
      </c>
      <c r="BO14" s="15">
        <v>216500</v>
      </c>
      <c r="BP14" s="235">
        <f>BO14/BL14</f>
        <v>1.1329147043432757</v>
      </c>
      <c r="BS14" s="15">
        <f>BO14+BR14</f>
        <v>216500</v>
      </c>
      <c r="BU14" s="227">
        <v>-6500</v>
      </c>
      <c r="BV14" s="15">
        <f>BS14+BU14</f>
        <v>210000</v>
      </c>
      <c r="BY14" s="15">
        <f>BV14+BX14</f>
        <v>210000</v>
      </c>
      <c r="BZ14" s="145">
        <v>455</v>
      </c>
      <c r="CB14" s="15">
        <f>BY14+CA14</f>
        <v>210000</v>
      </c>
      <c r="CE14" s="15">
        <f t="shared" ref="CE14" si="56">CB14+CD14</f>
        <v>210000</v>
      </c>
      <c r="CH14" s="15">
        <f t="shared" ref="CH14" si="57">CE14+CG14</f>
        <v>210000</v>
      </c>
      <c r="CK14" s="15">
        <f t="shared" ref="CK14" si="58">CH14+CJ14</f>
        <v>210000</v>
      </c>
      <c r="CN14" s="15">
        <f t="shared" ref="CN14" si="59">CK14+CM14</f>
        <v>210000</v>
      </c>
      <c r="CP14" s="15">
        <v>210840</v>
      </c>
      <c r="CR14" s="15">
        <f>333*800</f>
        <v>266400</v>
      </c>
      <c r="CS14" s="235">
        <f t="shared" si="43"/>
        <v>1.2635173591348889</v>
      </c>
      <c r="CV14" s="15">
        <f t="shared" si="40"/>
        <v>266400</v>
      </c>
      <c r="CY14" s="15">
        <f t="shared" si="11"/>
        <v>266400</v>
      </c>
      <c r="DB14" s="15">
        <f t="shared" si="12"/>
        <v>266400</v>
      </c>
      <c r="DD14" s="227">
        <v>4000</v>
      </c>
      <c r="DE14" s="15">
        <f t="shared" si="13"/>
        <v>270400</v>
      </c>
      <c r="DH14" s="15">
        <f t="shared" si="14"/>
        <v>270400</v>
      </c>
      <c r="DK14" s="15">
        <f t="shared" si="15"/>
        <v>270400</v>
      </c>
      <c r="DN14" s="15">
        <f t="shared" si="16"/>
        <v>270400</v>
      </c>
      <c r="DQ14" s="15">
        <f t="shared" si="17"/>
        <v>270400</v>
      </c>
      <c r="DS14" s="15">
        <v>270738</v>
      </c>
      <c r="DU14" s="15">
        <f>335*900</f>
        <v>301500</v>
      </c>
      <c r="DV14" s="235">
        <f t="shared" si="44"/>
        <v>1.1136227644438534</v>
      </c>
      <c r="DX14" s="15">
        <f t="shared" si="18"/>
        <v>301500</v>
      </c>
      <c r="DZ14" s="227">
        <v>4500</v>
      </c>
      <c r="EA14" s="15">
        <f t="shared" si="19"/>
        <v>306000</v>
      </c>
      <c r="ED14" s="15">
        <f t="shared" si="20"/>
        <v>306000</v>
      </c>
      <c r="EG14" s="15">
        <f t="shared" si="21"/>
        <v>306000</v>
      </c>
      <c r="EI14" s="15">
        <v>307942</v>
      </c>
      <c r="EK14" s="15">
        <v>297000</v>
      </c>
      <c r="EL14" s="235">
        <f t="shared" si="41"/>
        <v>0.96446733475784396</v>
      </c>
    </row>
    <row r="15" spans="1:142" outlineLevel="1">
      <c r="A15" s="1" t="s">
        <v>11</v>
      </c>
      <c r="B15" s="1" t="s">
        <v>30</v>
      </c>
      <c r="C15" s="4" t="s">
        <v>31</v>
      </c>
      <c r="D15" s="8">
        <v>1000</v>
      </c>
      <c r="E15" s="28">
        <v>167</v>
      </c>
      <c r="F15" s="8">
        <v>1000</v>
      </c>
      <c r="G15" s="28">
        <v>167</v>
      </c>
      <c r="H15" s="9">
        <v>1670</v>
      </c>
      <c r="I15" s="14">
        <f t="shared" si="45"/>
        <v>1670</v>
      </c>
      <c r="J15" s="14"/>
      <c r="L15" s="118">
        <v>2000</v>
      </c>
      <c r="M15" s="17">
        <f t="shared" si="23"/>
        <v>1</v>
      </c>
      <c r="N15" s="17">
        <f t="shared" si="24"/>
        <v>0.19760479041916157</v>
      </c>
      <c r="P15" s="15">
        <f t="shared" si="46"/>
        <v>2000</v>
      </c>
      <c r="Q15" s="15">
        <f t="shared" si="47"/>
        <v>2000</v>
      </c>
      <c r="R15" s="15">
        <f t="shared" si="48"/>
        <v>2000</v>
      </c>
      <c r="S15" s="15">
        <f t="shared" si="49"/>
        <v>2000</v>
      </c>
      <c r="U15" s="118">
        <v>1000</v>
      </c>
      <c r="V15" s="17">
        <f t="shared" si="25"/>
        <v>-0.5</v>
      </c>
      <c r="X15" s="118">
        <f t="shared" si="26"/>
        <v>1000</v>
      </c>
      <c r="Z15" s="118">
        <v>1500</v>
      </c>
      <c r="AB15" s="187">
        <f t="shared" si="27"/>
        <v>500</v>
      </c>
      <c r="AC15" s="187"/>
      <c r="AD15" s="118">
        <v>1500</v>
      </c>
      <c r="AE15" s="187"/>
      <c r="AF15" s="182">
        <f t="shared" si="28"/>
        <v>0</v>
      </c>
      <c r="AG15" s="187"/>
      <c r="AH15" s="118">
        <v>1800</v>
      </c>
      <c r="AI15" s="187"/>
      <c r="AJ15" s="182">
        <f t="shared" ref="AJ15:AJ21" si="60">AH15-AD15</f>
        <v>300</v>
      </c>
      <c r="AK15" s="118"/>
      <c r="AL15" s="15">
        <v>1720</v>
      </c>
      <c r="AM15" s="189"/>
      <c r="AN15" s="15">
        <v>3000</v>
      </c>
      <c r="AO15" s="17">
        <f t="shared" si="30"/>
        <v>0.5</v>
      </c>
      <c r="AP15" s="17">
        <f t="shared" si="31"/>
        <v>0.66666666666666674</v>
      </c>
      <c r="AQ15" s="17">
        <f t="shared" si="32"/>
        <v>0.7441860465116279</v>
      </c>
      <c r="BA15" s="15">
        <f t="shared" si="33"/>
        <v>3000</v>
      </c>
      <c r="BD15" s="15">
        <f t="shared" si="34"/>
        <v>3000</v>
      </c>
      <c r="BG15" s="15">
        <f t="shared" si="35"/>
        <v>3000</v>
      </c>
      <c r="BI15" s="15">
        <v>500</v>
      </c>
      <c r="BJ15" s="15">
        <f t="shared" si="36"/>
        <v>3500</v>
      </c>
      <c r="BL15" s="15">
        <v>3250</v>
      </c>
      <c r="BM15" s="235">
        <f t="shared" si="37"/>
        <v>0.9285714285714286</v>
      </c>
      <c r="BO15" s="15">
        <v>3000</v>
      </c>
      <c r="BP15" s="235">
        <f t="shared" si="42"/>
        <v>0.92307692307692313</v>
      </c>
      <c r="BS15" s="15">
        <f t="shared" si="39"/>
        <v>3000</v>
      </c>
      <c r="BU15" s="227">
        <v>2000</v>
      </c>
      <c r="BV15" s="15">
        <f t="shared" si="4"/>
        <v>5000</v>
      </c>
      <c r="BY15" s="15">
        <f t="shared" si="50"/>
        <v>5000</v>
      </c>
      <c r="BZ15" s="145"/>
      <c r="CB15" s="15">
        <f t="shared" si="51"/>
        <v>5000</v>
      </c>
      <c r="CE15" s="15">
        <f t="shared" si="52"/>
        <v>5000</v>
      </c>
      <c r="CH15" s="15">
        <f t="shared" si="53"/>
        <v>5000</v>
      </c>
      <c r="CJ15" s="227">
        <v>-2000</v>
      </c>
      <c r="CK15" s="15">
        <f t="shared" si="54"/>
        <v>3000</v>
      </c>
      <c r="CN15" s="15">
        <f t="shared" si="55"/>
        <v>3000</v>
      </c>
      <c r="CP15" s="15">
        <v>2330</v>
      </c>
      <c r="CR15" s="15">
        <v>2500</v>
      </c>
      <c r="CS15" s="235">
        <f t="shared" si="43"/>
        <v>1.0729613733905579</v>
      </c>
      <c r="CV15" s="15">
        <f t="shared" si="40"/>
        <v>2500</v>
      </c>
      <c r="CY15" s="15">
        <f t="shared" si="11"/>
        <v>2500</v>
      </c>
      <c r="DB15" s="15">
        <f t="shared" si="12"/>
        <v>2500</v>
      </c>
      <c r="DE15" s="15">
        <f t="shared" si="13"/>
        <v>2500</v>
      </c>
      <c r="DH15" s="15">
        <f t="shared" si="14"/>
        <v>2500</v>
      </c>
      <c r="DK15" s="15">
        <f t="shared" si="15"/>
        <v>2500</v>
      </c>
      <c r="DM15" s="227">
        <v>500</v>
      </c>
      <c r="DN15" s="15">
        <f t="shared" si="16"/>
        <v>3000</v>
      </c>
      <c r="DQ15" s="15">
        <f t="shared" si="17"/>
        <v>3000</v>
      </c>
      <c r="DS15" s="15">
        <v>1840</v>
      </c>
      <c r="DU15" s="15">
        <v>2000</v>
      </c>
      <c r="DV15" s="235">
        <f t="shared" si="44"/>
        <v>1.0869565217391304</v>
      </c>
      <c r="DX15" s="15">
        <f t="shared" si="18"/>
        <v>2000</v>
      </c>
      <c r="EA15" s="15">
        <f t="shared" si="19"/>
        <v>2000</v>
      </c>
      <c r="ED15" s="15">
        <f t="shared" si="20"/>
        <v>2000</v>
      </c>
      <c r="EF15" s="227">
        <v>1100</v>
      </c>
      <c r="EG15" s="15">
        <f t="shared" si="21"/>
        <v>3100</v>
      </c>
      <c r="EI15" s="15">
        <v>3490</v>
      </c>
      <c r="EK15" s="15">
        <v>3000</v>
      </c>
      <c r="EL15" s="235">
        <f t="shared" si="41"/>
        <v>0.85959885386819479</v>
      </c>
    </row>
    <row r="16" spans="1:142" outlineLevel="1">
      <c r="A16" s="1" t="s">
        <v>11</v>
      </c>
      <c r="B16" s="1" t="s">
        <v>32</v>
      </c>
      <c r="C16" s="4" t="s">
        <v>33</v>
      </c>
      <c r="D16" s="8">
        <v>23500</v>
      </c>
      <c r="E16" s="28">
        <v>306.37</v>
      </c>
      <c r="F16" s="8">
        <v>23500</v>
      </c>
      <c r="G16" s="28">
        <v>306.37</v>
      </c>
      <c r="H16" s="9">
        <v>71996.19</v>
      </c>
      <c r="I16" s="14">
        <f>H16</f>
        <v>71996.19</v>
      </c>
      <c r="J16" s="14"/>
      <c r="L16" s="158">
        <v>72000</v>
      </c>
      <c r="M16" s="17">
        <f t="shared" si="23"/>
        <v>2.0638297872340425</v>
      </c>
      <c r="N16" s="17">
        <f t="shared" si="24"/>
        <v>5.291946698848804E-5</v>
      </c>
      <c r="P16" s="15">
        <f t="shared" si="46"/>
        <v>72000</v>
      </c>
      <c r="Q16" s="15">
        <f t="shared" si="47"/>
        <v>72000</v>
      </c>
      <c r="R16" s="15">
        <f t="shared" si="48"/>
        <v>72000</v>
      </c>
      <c r="S16" s="15">
        <f t="shared" si="49"/>
        <v>72000</v>
      </c>
      <c r="U16" s="118">
        <v>30000</v>
      </c>
      <c r="V16" s="17">
        <f t="shared" si="25"/>
        <v>-0.58333333333333326</v>
      </c>
      <c r="X16" s="118">
        <f t="shared" si="26"/>
        <v>30000</v>
      </c>
      <c r="Z16" s="118">
        <v>25000</v>
      </c>
      <c r="AB16" s="187">
        <f t="shared" si="27"/>
        <v>-5000</v>
      </c>
      <c r="AC16" s="187"/>
      <c r="AD16" s="118">
        <v>25000</v>
      </c>
      <c r="AE16" s="187"/>
      <c r="AF16" s="182">
        <f t="shared" si="28"/>
        <v>0</v>
      </c>
      <c r="AG16" s="187"/>
      <c r="AH16" s="118">
        <v>29500</v>
      </c>
      <c r="AI16" s="187"/>
      <c r="AJ16" s="182">
        <f t="shared" si="60"/>
        <v>4500</v>
      </c>
      <c r="AK16" s="118"/>
      <c r="AL16" s="15">
        <v>29380.38</v>
      </c>
      <c r="AM16" s="189"/>
      <c r="AN16" s="227">
        <v>30000</v>
      </c>
      <c r="AO16" s="17">
        <f t="shared" si="30"/>
        <v>-0.58333333333333326</v>
      </c>
      <c r="AP16" s="17">
        <f t="shared" si="31"/>
        <v>1.6949152542372836E-2</v>
      </c>
      <c r="AQ16" s="17">
        <f t="shared" si="32"/>
        <v>2.1089584273586537E-2</v>
      </c>
      <c r="BA16" s="15">
        <f t="shared" si="33"/>
        <v>30000</v>
      </c>
      <c r="BD16" s="15">
        <f t="shared" si="34"/>
        <v>30000</v>
      </c>
      <c r="BG16" s="15">
        <f t="shared" si="35"/>
        <v>30000</v>
      </c>
      <c r="BI16" s="15">
        <v>5000</v>
      </c>
      <c r="BJ16" s="15">
        <f t="shared" si="36"/>
        <v>35000</v>
      </c>
      <c r="BL16" s="15">
        <v>36417</v>
      </c>
      <c r="BM16" s="235">
        <f t="shared" si="37"/>
        <v>1.0404857142857142</v>
      </c>
      <c r="BO16" s="15">
        <v>38000</v>
      </c>
      <c r="BP16" s="235">
        <f t="shared" si="42"/>
        <v>1.0434687096685613</v>
      </c>
      <c r="BS16" s="15">
        <f t="shared" si="39"/>
        <v>38000</v>
      </c>
      <c r="BV16" s="15">
        <f t="shared" si="4"/>
        <v>38000</v>
      </c>
      <c r="BY16" s="15">
        <f t="shared" si="50"/>
        <v>38000</v>
      </c>
      <c r="BZ16" s="145"/>
      <c r="CB16" s="15">
        <f t="shared" si="51"/>
        <v>38000</v>
      </c>
      <c r="CD16" s="227">
        <v>3000</v>
      </c>
      <c r="CE16" s="15">
        <f t="shared" si="52"/>
        <v>41000</v>
      </c>
      <c r="CH16" s="15">
        <f t="shared" si="53"/>
        <v>41000</v>
      </c>
      <c r="CK16" s="15">
        <f t="shared" si="54"/>
        <v>41000</v>
      </c>
      <c r="CN16" s="15">
        <f t="shared" si="55"/>
        <v>41000</v>
      </c>
      <c r="CP16" s="15">
        <v>39911.33</v>
      </c>
      <c r="CR16" s="15">
        <v>40000</v>
      </c>
      <c r="CS16" s="235">
        <f t="shared" si="43"/>
        <v>1.0022216748978297</v>
      </c>
      <c r="CV16" s="15">
        <f t="shared" si="40"/>
        <v>40000</v>
      </c>
      <c r="CW16" t="s">
        <v>463</v>
      </c>
      <c r="CY16" s="15">
        <f t="shared" si="11"/>
        <v>40000</v>
      </c>
      <c r="DB16" s="15">
        <f t="shared" si="12"/>
        <v>40000</v>
      </c>
      <c r="DE16" s="15">
        <f t="shared" si="13"/>
        <v>40000</v>
      </c>
      <c r="DH16" s="15">
        <f t="shared" si="14"/>
        <v>40000</v>
      </c>
      <c r="DK16" s="15">
        <f t="shared" si="15"/>
        <v>40000</v>
      </c>
      <c r="DM16" s="227">
        <v>3000</v>
      </c>
      <c r="DN16" s="15">
        <f t="shared" si="16"/>
        <v>43000</v>
      </c>
      <c r="DQ16" s="15">
        <f t="shared" si="17"/>
        <v>43000</v>
      </c>
      <c r="DS16" s="15">
        <v>40460.93</v>
      </c>
      <c r="DU16" s="15">
        <v>60000</v>
      </c>
      <c r="DV16" s="235">
        <f t="shared" si="44"/>
        <v>1.4829120339053008</v>
      </c>
      <c r="DX16" s="15">
        <f t="shared" si="18"/>
        <v>60000</v>
      </c>
      <c r="EA16" s="15">
        <f t="shared" si="19"/>
        <v>60000</v>
      </c>
      <c r="ED16" s="15">
        <f t="shared" si="20"/>
        <v>60000</v>
      </c>
      <c r="EF16" s="227">
        <v>-46000</v>
      </c>
      <c r="EG16" s="15">
        <f t="shared" si="21"/>
        <v>14000</v>
      </c>
      <c r="EI16" s="15">
        <v>11781.64</v>
      </c>
      <c r="EK16" s="15">
        <v>13000</v>
      </c>
      <c r="EL16" s="235">
        <f t="shared" si="41"/>
        <v>1.1034117491283049</v>
      </c>
    </row>
    <row r="17" spans="1:144" outlineLevel="1">
      <c r="A17" s="1" t="s">
        <v>11</v>
      </c>
      <c r="B17" s="1" t="s">
        <v>575</v>
      </c>
      <c r="C17" s="4" t="s">
        <v>576</v>
      </c>
      <c r="D17" s="8"/>
      <c r="E17" s="28"/>
      <c r="F17" s="8"/>
      <c r="G17" s="28"/>
      <c r="H17" s="9"/>
      <c r="I17" s="14"/>
      <c r="J17" s="14"/>
      <c r="L17" s="158"/>
      <c r="M17" s="17"/>
      <c r="N17" s="17"/>
      <c r="P17" s="15"/>
      <c r="Q17" s="15"/>
      <c r="R17" s="15"/>
      <c r="S17" s="15"/>
      <c r="V17" s="17"/>
      <c r="X17" s="118"/>
      <c r="AB17" s="187"/>
      <c r="AC17" s="187"/>
      <c r="AE17" s="187"/>
      <c r="AF17" s="182"/>
      <c r="AG17" s="187"/>
      <c r="AI17" s="187"/>
      <c r="AJ17" s="182"/>
      <c r="AK17" s="118"/>
      <c r="AM17" s="189"/>
      <c r="AN17" s="227"/>
      <c r="AO17" s="17"/>
      <c r="AP17" s="17"/>
      <c r="AQ17" s="17"/>
      <c r="BA17" s="15"/>
      <c r="BD17" s="15"/>
      <c r="BG17" s="15"/>
      <c r="BJ17" s="15"/>
      <c r="BM17" s="235"/>
      <c r="BP17" s="235"/>
      <c r="BS17" s="15"/>
      <c r="BV17" s="15"/>
      <c r="BY17" s="15"/>
      <c r="BZ17" s="145"/>
      <c r="CB17" s="15"/>
      <c r="CD17" s="227"/>
      <c r="CE17" s="15"/>
      <c r="CH17" s="15"/>
      <c r="CK17" s="15"/>
      <c r="CN17" s="15">
        <v>0</v>
      </c>
      <c r="CP17" s="15">
        <v>28.83</v>
      </c>
      <c r="CS17" s="235"/>
      <c r="CV17" s="15">
        <f t="shared" si="40"/>
        <v>0</v>
      </c>
      <c r="CY17" s="15">
        <f t="shared" si="11"/>
        <v>0</v>
      </c>
      <c r="DB17" s="15">
        <f t="shared" si="12"/>
        <v>0</v>
      </c>
      <c r="DE17" s="15">
        <f t="shared" si="13"/>
        <v>0</v>
      </c>
      <c r="DH17" s="15">
        <f t="shared" si="14"/>
        <v>0</v>
      </c>
      <c r="DK17" s="15">
        <f t="shared" si="15"/>
        <v>0</v>
      </c>
      <c r="DN17" s="15">
        <f t="shared" si="16"/>
        <v>0</v>
      </c>
      <c r="DQ17" s="15">
        <f t="shared" si="17"/>
        <v>0</v>
      </c>
      <c r="DS17" s="15">
        <v>0.49</v>
      </c>
      <c r="DU17" s="15">
        <v>0</v>
      </c>
      <c r="DV17" s="235"/>
      <c r="DX17" s="15">
        <f t="shared" si="18"/>
        <v>0</v>
      </c>
      <c r="EA17" s="15">
        <f t="shared" si="19"/>
        <v>0</v>
      </c>
      <c r="ED17" s="15">
        <f t="shared" si="20"/>
        <v>0</v>
      </c>
      <c r="EG17" s="15">
        <f t="shared" si="21"/>
        <v>0</v>
      </c>
      <c r="EL17" s="235" t="e">
        <f t="shared" si="41"/>
        <v>#DIV/0!</v>
      </c>
    </row>
    <row r="18" spans="1:144" outlineLevel="1">
      <c r="A18" s="1" t="s">
        <v>447</v>
      </c>
      <c r="B18" s="1" t="s">
        <v>443</v>
      </c>
      <c r="C18" s="4" t="s">
        <v>444</v>
      </c>
      <c r="D18" s="8"/>
      <c r="E18" s="28"/>
      <c r="F18" s="8"/>
      <c r="G18" s="28"/>
      <c r="H18" s="9"/>
      <c r="I18" s="14"/>
      <c r="J18" s="14"/>
      <c r="L18" s="158"/>
      <c r="M18" s="17"/>
      <c r="N18" s="17"/>
      <c r="P18" s="15"/>
      <c r="Q18" s="15"/>
      <c r="R18" s="15"/>
      <c r="S18" s="15"/>
      <c r="V18" s="17"/>
      <c r="X18" s="118"/>
      <c r="AB18" s="187"/>
      <c r="AC18" s="187"/>
      <c r="AE18" s="187"/>
      <c r="AF18" s="182"/>
      <c r="AG18" s="187"/>
      <c r="AI18" s="187"/>
      <c r="AJ18" s="182"/>
      <c r="AK18" s="118"/>
      <c r="AL18" s="15">
        <v>7.86</v>
      </c>
      <c r="AM18" s="189"/>
      <c r="AN18" s="227">
        <v>0</v>
      </c>
      <c r="AO18" s="17"/>
      <c r="AP18" s="17"/>
      <c r="AQ18" s="17">
        <f t="shared" si="32"/>
        <v>-1</v>
      </c>
      <c r="BA18" s="15">
        <f t="shared" si="33"/>
        <v>0</v>
      </c>
      <c r="BD18" s="15">
        <f t="shared" si="34"/>
        <v>0</v>
      </c>
      <c r="BG18" s="15">
        <f t="shared" si="35"/>
        <v>0</v>
      </c>
      <c r="BJ18" s="15">
        <f t="shared" si="36"/>
        <v>0</v>
      </c>
      <c r="BM18" s="235"/>
      <c r="BS18" s="15">
        <f t="shared" si="39"/>
        <v>0</v>
      </c>
      <c r="BV18" s="15">
        <f t="shared" si="4"/>
        <v>0</v>
      </c>
      <c r="BY18" s="15">
        <f t="shared" si="50"/>
        <v>0</v>
      </c>
      <c r="BZ18" s="145"/>
      <c r="CB18" s="15">
        <f t="shared" si="51"/>
        <v>0</v>
      </c>
      <c r="CE18" s="15">
        <f t="shared" si="52"/>
        <v>0</v>
      </c>
      <c r="CH18" s="15">
        <f t="shared" si="53"/>
        <v>0</v>
      </c>
      <c r="CK18" s="15">
        <f t="shared" si="54"/>
        <v>0</v>
      </c>
      <c r="CN18" s="15">
        <f t="shared" si="55"/>
        <v>0</v>
      </c>
      <c r="CV18" s="15">
        <f t="shared" si="40"/>
        <v>0</v>
      </c>
      <c r="CY18" s="15">
        <f t="shared" si="11"/>
        <v>0</v>
      </c>
      <c r="DB18" s="15">
        <f t="shared" si="12"/>
        <v>0</v>
      </c>
      <c r="DE18" s="15">
        <f t="shared" si="13"/>
        <v>0</v>
      </c>
      <c r="DH18" s="15">
        <f t="shared" si="14"/>
        <v>0</v>
      </c>
      <c r="DK18" s="15">
        <f t="shared" si="15"/>
        <v>0</v>
      </c>
      <c r="DN18" s="15">
        <f t="shared" si="16"/>
        <v>0</v>
      </c>
      <c r="DQ18" s="15">
        <f t="shared" si="17"/>
        <v>0</v>
      </c>
      <c r="DS18" s="15">
        <v>0</v>
      </c>
      <c r="DU18" s="15">
        <v>0</v>
      </c>
      <c r="DV18" s="31"/>
      <c r="DX18" s="15">
        <f t="shared" si="18"/>
        <v>0</v>
      </c>
      <c r="EA18" s="15">
        <f t="shared" si="19"/>
        <v>0</v>
      </c>
      <c r="ED18" s="15">
        <f t="shared" si="20"/>
        <v>0</v>
      </c>
      <c r="EG18" s="15">
        <f t="shared" si="21"/>
        <v>0</v>
      </c>
      <c r="EL18" s="235" t="e">
        <f t="shared" si="41"/>
        <v>#DIV/0!</v>
      </c>
    </row>
    <row r="19" spans="1:144" outlineLevel="1">
      <c r="A19" s="1" t="s">
        <v>678</v>
      </c>
      <c r="B19" s="1" t="s">
        <v>680</v>
      </c>
      <c r="C19" s="4" t="s">
        <v>681</v>
      </c>
      <c r="D19" s="14"/>
      <c r="E19" s="175"/>
      <c r="F19" s="14"/>
      <c r="G19" s="175"/>
      <c r="H19" s="14"/>
      <c r="I19" s="14"/>
      <c r="J19" s="14"/>
      <c r="L19" s="158"/>
      <c r="M19" s="17"/>
      <c r="N19" s="17"/>
      <c r="P19" s="15"/>
      <c r="Q19" s="15"/>
      <c r="R19" s="15"/>
      <c r="S19" s="15"/>
      <c r="V19" s="17"/>
      <c r="X19" s="118"/>
      <c r="AB19" s="187"/>
      <c r="AC19" s="187"/>
      <c r="AE19" s="187"/>
      <c r="AF19" s="182"/>
      <c r="AG19" s="187"/>
      <c r="AI19" s="187"/>
      <c r="AJ19" s="182"/>
      <c r="AK19" s="118"/>
      <c r="AM19" s="189"/>
      <c r="AN19" s="227"/>
      <c r="AO19" s="17"/>
      <c r="AP19" s="17"/>
      <c r="AQ19" s="17"/>
      <c r="BA19" s="15"/>
      <c r="BD19" s="15"/>
      <c r="BG19" s="15"/>
      <c r="BJ19" s="15"/>
      <c r="BM19" s="235"/>
      <c r="BS19" s="15"/>
      <c r="BV19" s="15"/>
      <c r="BY19" s="15"/>
      <c r="BZ19" s="145"/>
      <c r="CB19" s="15"/>
      <c r="CE19" s="15"/>
      <c r="CH19" s="15"/>
      <c r="CK19" s="15"/>
      <c r="CN19" s="15"/>
      <c r="CV19" s="15"/>
      <c r="CY19" s="15"/>
      <c r="DB19" s="15"/>
      <c r="DE19" s="15"/>
      <c r="DH19" s="15"/>
      <c r="DK19" s="15"/>
      <c r="DN19" s="15"/>
      <c r="DQ19" s="15"/>
      <c r="DV19" s="31"/>
      <c r="DX19" s="15"/>
      <c r="EA19" s="15"/>
      <c r="ED19" s="15"/>
      <c r="EF19" s="227">
        <v>26000</v>
      </c>
      <c r="EG19" s="15">
        <f t="shared" si="21"/>
        <v>26000</v>
      </c>
      <c r="EI19" s="15">
        <v>33285.21</v>
      </c>
      <c r="EK19" s="15">
        <v>34000</v>
      </c>
      <c r="EL19" s="235">
        <f t="shared" si="41"/>
        <v>1.0214747030287628</v>
      </c>
    </row>
    <row r="20" spans="1:144" outlineLevel="1">
      <c r="A20" s="1" t="s">
        <v>679</v>
      </c>
      <c r="B20" s="1" t="s">
        <v>682</v>
      </c>
      <c r="C20" s="4" t="s">
        <v>683</v>
      </c>
      <c r="D20" s="14"/>
      <c r="E20" s="175"/>
      <c r="F20" s="14"/>
      <c r="G20" s="175"/>
      <c r="H20" s="14"/>
      <c r="I20" s="14"/>
      <c r="J20" s="14"/>
      <c r="L20" s="158"/>
      <c r="M20" s="17"/>
      <c r="N20" s="17"/>
      <c r="P20" s="15"/>
      <c r="Q20" s="15"/>
      <c r="R20" s="15"/>
      <c r="S20" s="15"/>
      <c r="V20" s="17"/>
      <c r="X20" s="118"/>
      <c r="AB20" s="187"/>
      <c r="AC20" s="187"/>
      <c r="AE20" s="187"/>
      <c r="AF20" s="182"/>
      <c r="AG20" s="187"/>
      <c r="AI20" s="187"/>
      <c r="AJ20" s="182"/>
      <c r="AK20" s="118"/>
      <c r="AM20" s="189"/>
      <c r="AN20" s="227"/>
      <c r="AO20" s="17"/>
      <c r="AP20" s="17"/>
      <c r="AQ20" s="17"/>
      <c r="BA20" s="15"/>
      <c r="BD20" s="15"/>
      <c r="BG20" s="15"/>
      <c r="BJ20" s="15"/>
      <c r="BM20" s="235"/>
      <c r="BS20" s="15"/>
      <c r="BV20" s="15"/>
      <c r="BY20" s="15"/>
      <c r="BZ20" s="145"/>
      <c r="CB20" s="15"/>
      <c r="CE20" s="15"/>
      <c r="CH20" s="15"/>
      <c r="CK20" s="15"/>
      <c r="CN20" s="15"/>
      <c r="CV20" s="15"/>
      <c r="CY20" s="15"/>
      <c r="DB20" s="15"/>
      <c r="DE20" s="15"/>
      <c r="DH20" s="15"/>
      <c r="DK20" s="15"/>
      <c r="DN20" s="15"/>
      <c r="DQ20" s="15"/>
      <c r="DV20" s="31"/>
      <c r="DX20" s="15"/>
      <c r="EA20" s="15"/>
      <c r="ED20" s="15"/>
      <c r="EF20" s="227">
        <v>15000</v>
      </c>
      <c r="EG20" s="15">
        <f t="shared" si="21"/>
        <v>15000</v>
      </c>
      <c r="EI20" s="15">
        <v>16297.55</v>
      </c>
      <c r="EK20" s="15">
        <v>17000</v>
      </c>
      <c r="EL20" s="235">
        <f t="shared" si="41"/>
        <v>1.0431015704814528</v>
      </c>
    </row>
    <row r="21" spans="1:144" outlineLevel="1">
      <c r="A21" s="1" t="s">
        <v>11</v>
      </c>
      <c r="B21" s="1" t="s">
        <v>34</v>
      </c>
      <c r="C21" s="4" t="s">
        <v>35</v>
      </c>
      <c r="D21" s="8">
        <v>267000</v>
      </c>
      <c r="E21" s="28">
        <v>88.81</v>
      </c>
      <c r="F21" s="8">
        <v>267000</v>
      </c>
      <c r="G21" s="28">
        <v>88.81</v>
      </c>
      <c r="H21" s="9">
        <v>237112.88</v>
      </c>
      <c r="I21" s="14">
        <f t="shared" si="45"/>
        <v>237112.88</v>
      </c>
      <c r="J21" s="14"/>
      <c r="L21" s="158">
        <v>238000</v>
      </c>
      <c r="M21" s="17">
        <f>L21/F21-1</f>
        <v>-0.10861423220973787</v>
      </c>
      <c r="N21" s="17">
        <f t="shared" si="24"/>
        <v>3.7413404113686433E-3</v>
      </c>
      <c r="P21" s="15">
        <f t="shared" si="46"/>
        <v>238000</v>
      </c>
      <c r="Q21" s="15">
        <f t="shared" si="47"/>
        <v>238000</v>
      </c>
      <c r="R21" s="15">
        <f t="shared" si="48"/>
        <v>238000</v>
      </c>
      <c r="S21" s="15">
        <f t="shared" si="49"/>
        <v>238000</v>
      </c>
      <c r="U21" s="118">
        <v>262000</v>
      </c>
      <c r="V21" s="17">
        <f t="shared" si="25"/>
        <v>0.10084033613445387</v>
      </c>
      <c r="X21" s="118">
        <f t="shared" si="26"/>
        <v>262000</v>
      </c>
      <c r="Z21" s="118">
        <v>244000</v>
      </c>
      <c r="AB21" s="187">
        <f t="shared" si="27"/>
        <v>-18000</v>
      </c>
      <c r="AC21" s="187"/>
      <c r="AD21" s="118">
        <v>244000</v>
      </c>
      <c r="AE21" s="187"/>
      <c r="AF21" s="182">
        <f t="shared" si="28"/>
        <v>0</v>
      </c>
      <c r="AG21" s="187"/>
      <c r="AH21" s="118">
        <v>266000</v>
      </c>
      <c r="AI21" s="187"/>
      <c r="AJ21" s="182">
        <f t="shared" si="60"/>
        <v>22000</v>
      </c>
      <c r="AK21" s="118"/>
      <c r="AL21" s="15">
        <v>265743.53000000003</v>
      </c>
      <c r="AM21" s="189"/>
      <c r="AN21" s="227">
        <v>267000</v>
      </c>
      <c r="AO21" s="17">
        <f t="shared" si="30"/>
        <v>0.12184873949579833</v>
      </c>
      <c r="AP21" s="17">
        <f t="shared" si="31"/>
        <v>3.759398496240518E-3</v>
      </c>
      <c r="AQ21" s="17">
        <f t="shared" si="32"/>
        <v>4.7281301636956652E-3</v>
      </c>
      <c r="BA21" s="15">
        <f t="shared" si="33"/>
        <v>267000</v>
      </c>
      <c r="BD21" s="15">
        <f t="shared" si="34"/>
        <v>267000</v>
      </c>
      <c r="BG21" s="15">
        <f t="shared" si="35"/>
        <v>267000</v>
      </c>
      <c r="BI21" s="15">
        <v>0</v>
      </c>
      <c r="BJ21" s="15">
        <f t="shared" si="36"/>
        <v>267000</v>
      </c>
      <c r="BL21" s="15">
        <v>267900.49</v>
      </c>
      <c r="BM21" s="235">
        <f t="shared" si="37"/>
        <v>1.0033726217228465</v>
      </c>
      <c r="BO21" s="15">
        <v>269000</v>
      </c>
      <c r="BP21" s="235">
        <f>BO21/BL21</f>
        <v>1.0041041731577274</v>
      </c>
      <c r="BS21" s="15">
        <f t="shared" si="39"/>
        <v>269000</v>
      </c>
      <c r="BV21" s="15">
        <f t="shared" si="4"/>
        <v>269000</v>
      </c>
      <c r="BY21" s="15">
        <f t="shared" si="50"/>
        <v>269000</v>
      </c>
      <c r="BZ21" s="145"/>
      <c r="CB21" s="15">
        <f t="shared" si="51"/>
        <v>269000</v>
      </c>
      <c r="CE21" s="15">
        <f t="shared" si="52"/>
        <v>269000</v>
      </c>
      <c r="CH21" s="15">
        <f t="shared" si="53"/>
        <v>269000</v>
      </c>
      <c r="CJ21" s="227">
        <v>-9000</v>
      </c>
      <c r="CK21" s="15">
        <f t="shared" si="54"/>
        <v>260000</v>
      </c>
      <c r="CN21" s="15">
        <f t="shared" si="55"/>
        <v>260000</v>
      </c>
      <c r="CP21" s="15">
        <v>260107.79</v>
      </c>
      <c r="CR21" s="15">
        <v>260000</v>
      </c>
      <c r="CS21" s="235">
        <f>CR21/CP21</f>
        <v>0.99958559487972276</v>
      </c>
      <c r="CV21" s="15">
        <f t="shared" si="40"/>
        <v>260000</v>
      </c>
      <c r="CY21" s="15">
        <f t="shared" si="11"/>
        <v>260000</v>
      </c>
      <c r="DB21" s="15">
        <f t="shared" si="12"/>
        <v>260000</v>
      </c>
      <c r="DE21" s="15">
        <f t="shared" si="13"/>
        <v>260000</v>
      </c>
      <c r="DH21" s="15">
        <f t="shared" si="14"/>
        <v>260000</v>
      </c>
      <c r="DK21" s="15">
        <f t="shared" si="15"/>
        <v>260000</v>
      </c>
      <c r="DN21" s="15">
        <f t="shared" si="16"/>
        <v>260000</v>
      </c>
      <c r="DQ21" s="15">
        <f t="shared" si="17"/>
        <v>260000</v>
      </c>
      <c r="DS21" s="15">
        <v>276200.09000000003</v>
      </c>
      <c r="DU21" s="15">
        <v>497000</v>
      </c>
      <c r="DV21" s="235">
        <f>DU21/DS21</f>
        <v>1.7994201232881566</v>
      </c>
      <c r="DX21" s="15">
        <f t="shared" si="18"/>
        <v>497000</v>
      </c>
      <c r="EA21" s="15">
        <f t="shared" si="19"/>
        <v>497000</v>
      </c>
      <c r="ED21" s="15">
        <f t="shared" si="20"/>
        <v>497000</v>
      </c>
      <c r="EG21" s="15">
        <f t="shared" si="21"/>
        <v>497000</v>
      </c>
      <c r="EI21" s="15">
        <v>452640.13</v>
      </c>
      <c r="EK21" s="15">
        <v>453000</v>
      </c>
      <c r="EL21" s="235">
        <f t="shared" si="41"/>
        <v>1.0007950466079973</v>
      </c>
    </row>
    <row r="22" spans="1:144" ht="15.75" thickBot="1">
      <c r="A22" s="18"/>
      <c r="B22" s="18" t="s">
        <v>266</v>
      </c>
      <c r="C22" s="19" t="s">
        <v>292</v>
      </c>
      <c r="D22" s="20">
        <f>SUM(D5:D21)</f>
        <v>4575300</v>
      </c>
      <c r="E22" s="29"/>
      <c r="F22" s="20">
        <f>SUM(F5:F21)</f>
        <v>4645242.8</v>
      </c>
      <c r="G22" s="29"/>
      <c r="H22" s="21"/>
      <c r="I22" s="20">
        <f>SUM(I5:I21)</f>
        <v>4740772.2700000005</v>
      </c>
      <c r="J22" s="22"/>
      <c r="K22" s="20"/>
      <c r="L22" s="164">
        <f>SUM(L5:L21)</f>
        <v>4972000</v>
      </c>
      <c r="M22" s="23">
        <f>L22/F22-1</f>
        <v>7.0342329576400298E-2</v>
      </c>
      <c r="N22" s="23">
        <f>L22/I22-1</f>
        <v>4.8774274913652382E-2</v>
      </c>
      <c r="P22" s="20">
        <f>SUM(P5:P21)</f>
        <v>4637950</v>
      </c>
      <c r="Q22" s="20">
        <f>SUM(Q5:Q21)</f>
        <v>4470925</v>
      </c>
      <c r="R22" s="20">
        <f>SUM(R5:R21)</f>
        <v>4303900</v>
      </c>
      <c r="S22" s="20">
        <f>SUM(S5:S21)</f>
        <v>4036660</v>
      </c>
      <c r="U22" s="164">
        <f>SUM(U5:U21)</f>
        <v>4084200</v>
      </c>
      <c r="X22" s="164">
        <f>SUM(X5:X21)</f>
        <v>4084200</v>
      </c>
      <c r="Z22" s="164">
        <f>SUM(Z5:Z21)</f>
        <v>4353120</v>
      </c>
      <c r="AD22" s="164">
        <f>SUM(AD5:AD21)</f>
        <v>4416700</v>
      </c>
      <c r="AF22" s="182"/>
      <c r="AH22" s="164">
        <f>SUM(AH5:AH21)</f>
        <v>4661600</v>
      </c>
      <c r="AJ22" s="182"/>
      <c r="AL22" s="164">
        <f>SUM(AL5:AL21)</f>
        <v>4655908.6900000004</v>
      </c>
      <c r="AM22" s="190"/>
      <c r="AN22" s="164">
        <f>SUM(AN5:AN21)</f>
        <v>4104000</v>
      </c>
      <c r="AO22" s="214">
        <f>AN22/L22-1</f>
        <v>-0.17457763475462595</v>
      </c>
      <c r="AP22" s="214">
        <f>AN22/AH22-1</f>
        <v>-0.11961558263257255</v>
      </c>
      <c r="AQ22" s="214">
        <f t="shared" ref="AQ22" si="61">AN22/AL22-1</f>
        <v>-0.11853941448323391</v>
      </c>
      <c r="AZ22" s="164">
        <f>SUM(AZ5:AZ21)</f>
        <v>0</v>
      </c>
      <c r="BA22" s="164">
        <f>SUM(BA5:BA21)</f>
        <v>4104000</v>
      </c>
      <c r="BD22" s="164">
        <f>SUM(BD5:BD21)</f>
        <v>4104000</v>
      </c>
      <c r="BG22" s="164">
        <f>SUM(BG5:BG21)</f>
        <v>4104000</v>
      </c>
      <c r="BI22" s="164">
        <f>SUM(BI5:BI21)</f>
        <v>792000</v>
      </c>
      <c r="BJ22" s="164">
        <f>SUM(BJ5:BJ21)</f>
        <v>4896000</v>
      </c>
      <c r="BL22" s="164">
        <f>SUM(BL5:BL21)</f>
        <v>5079806.87</v>
      </c>
      <c r="BM22" s="240">
        <f>BL22/BJ22</f>
        <v>1.0375422528594771</v>
      </c>
      <c r="BO22" s="164">
        <f>SUM(BO5:BO21)</f>
        <v>5423700</v>
      </c>
      <c r="BP22" s="240">
        <f>BO22/BL22</f>
        <v>1.0676980717575981</v>
      </c>
      <c r="BR22" s="164">
        <f t="shared" ref="BR22:BS22" si="62">SUM(BR5:BR21)</f>
        <v>109500</v>
      </c>
      <c r="BS22" s="164">
        <f t="shared" si="62"/>
        <v>5533200</v>
      </c>
      <c r="BU22" s="164">
        <f>SUM(BU5:BU21)</f>
        <v>88300</v>
      </c>
      <c r="BV22" s="164">
        <f t="shared" ref="BV22" si="63">SUM(BV5:BV21)</f>
        <v>5621500</v>
      </c>
      <c r="BX22" s="164">
        <f>SUM(BX5:BX21)</f>
        <v>0</v>
      </c>
      <c r="BY22" s="164">
        <f t="shared" ref="BY22" si="64">SUM(BY5:BY21)</f>
        <v>5621500</v>
      </c>
      <c r="BZ22" s="145"/>
      <c r="CA22" s="321">
        <f>SUM(CA5:CA21)</f>
        <v>0</v>
      </c>
      <c r="CB22" s="164">
        <f t="shared" ref="CB22" si="65">SUM(CB5:CB21)</f>
        <v>5621500</v>
      </c>
      <c r="CD22" s="164">
        <f>SUM(CD5:CD21)</f>
        <v>51000</v>
      </c>
      <c r="CE22" s="164">
        <f t="shared" ref="CE22" si="66">SUM(CE5:CE21)</f>
        <v>5672500</v>
      </c>
      <c r="CG22" s="164">
        <f>SUM(CG5:CG21)</f>
        <v>0</v>
      </c>
      <c r="CH22" s="164">
        <f t="shared" ref="CH22" si="67">SUM(CH5:CH21)</f>
        <v>5672500</v>
      </c>
      <c r="CJ22" s="164">
        <f>SUM(CJ5:CJ21)</f>
        <v>87000</v>
      </c>
      <c r="CK22" s="164">
        <f t="shared" ref="CK22" si="68">SUM(CK5:CK21)</f>
        <v>5759500</v>
      </c>
      <c r="CM22" s="164">
        <f>SUM(CM5:CM21)</f>
        <v>0</v>
      </c>
      <c r="CN22" s="164">
        <f t="shared" ref="CN22" si="69">SUM(CN5:CN21)</f>
        <v>5759500</v>
      </c>
      <c r="CP22" s="164">
        <f>SUM(CP5:CP21)</f>
        <v>5723404.6900000004</v>
      </c>
      <c r="CR22" s="164">
        <f>SUM(CR5:CR21)</f>
        <v>6126400</v>
      </c>
      <c r="CS22" s="240">
        <f>CR22/CP22</f>
        <v>1.0704118146151917</v>
      </c>
      <c r="CU22" s="164">
        <f>SUM(CU5:CU21)</f>
        <v>0</v>
      </c>
      <c r="CV22" s="164">
        <f>SUM(CV5:CV21)</f>
        <v>6126400</v>
      </c>
      <c r="CX22" s="164">
        <f>SUM(CX5:CX21)</f>
        <v>0</v>
      </c>
      <c r="CY22" s="164">
        <f>SUM(CY5:CY21)</f>
        <v>6126400</v>
      </c>
      <c r="DA22" s="164">
        <f>SUM(DA5:DA21)</f>
        <v>0</v>
      </c>
      <c r="DB22" s="164">
        <f>SUM(DB5:DB21)</f>
        <v>6126400</v>
      </c>
      <c r="DD22" s="164">
        <f>SUM(DD5:DD21)</f>
        <v>14000</v>
      </c>
      <c r="DE22" s="164">
        <f>SUM(DE5:DE21)</f>
        <v>6140400</v>
      </c>
      <c r="DG22" s="164">
        <f>SUM(DG5:DG21)</f>
        <v>0</v>
      </c>
      <c r="DH22" s="164">
        <f>SUM(DH5:DH21)</f>
        <v>6140400</v>
      </c>
      <c r="DJ22" s="164">
        <f>SUM(DJ5:DJ21)</f>
        <v>120000</v>
      </c>
      <c r="DK22" s="164">
        <f>SUM(DK5:DK21)</f>
        <v>6260400</v>
      </c>
      <c r="DM22" s="164">
        <f>SUM(DM5:DM21)</f>
        <v>-105648</v>
      </c>
      <c r="DN22" s="164">
        <f>SUM(DN5:DN21)</f>
        <v>6154752</v>
      </c>
      <c r="DP22" s="164">
        <f>SUM(DP5:DP21)</f>
        <v>0</v>
      </c>
      <c r="DQ22" s="164">
        <f>SUM(DQ5:DQ21)</f>
        <v>6154752</v>
      </c>
      <c r="DS22" s="164">
        <f>SUM(DS5:DS21)</f>
        <v>6279896.7999999998</v>
      </c>
      <c r="DU22" s="164">
        <f>SUM(DU5:DU21)</f>
        <v>6763000</v>
      </c>
      <c r="DV22" s="235">
        <f t="shared" ref="DV22" si="70">DU22/DS22</f>
        <v>1.0769285253222634</v>
      </c>
      <c r="DW22" s="164">
        <f>SUM(DW5:DW21)</f>
        <v>63080</v>
      </c>
      <c r="DX22" s="164">
        <f>SUM(DX5:DX21)</f>
        <v>6826080</v>
      </c>
      <c r="DY22" s="15">
        <f>DX22-DW22</f>
        <v>6763000</v>
      </c>
      <c r="DZ22" s="164">
        <f>SUM(DZ5:DZ21)</f>
        <v>4500</v>
      </c>
      <c r="EA22" s="164">
        <f>SUM(EA5:EA21)</f>
        <v>6830580</v>
      </c>
      <c r="EC22" s="164">
        <f>SUM(EC5:EC21)</f>
        <v>0</v>
      </c>
      <c r="ED22" s="164">
        <f>SUM(ED5:ED21)</f>
        <v>6830580</v>
      </c>
      <c r="EF22" s="164">
        <f>SUM(EF5:EF21)</f>
        <v>-103466</v>
      </c>
      <c r="EG22" s="164">
        <f>SUM(EG5:EG21)</f>
        <v>6727114</v>
      </c>
      <c r="EI22" s="164">
        <f>SUM(EI5:EI21)</f>
        <v>6594028.2300000004</v>
      </c>
      <c r="EK22" s="164">
        <f>SUM(EK5:EK21)</f>
        <v>6645800</v>
      </c>
      <c r="EL22" s="235">
        <f t="shared" si="41"/>
        <v>1.0078513115495109</v>
      </c>
    </row>
    <row r="23" spans="1:144" ht="15.75" outlineLevel="1" thickTop="1">
      <c r="A23" s="1"/>
      <c r="B23" s="1"/>
      <c r="C23" s="4"/>
      <c r="D23" s="15"/>
      <c r="E23" s="28"/>
      <c r="F23" s="15"/>
      <c r="G23" s="28"/>
      <c r="H23" s="9"/>
      <c r="I23" s="15"/>
      <c r="J23" s="14"/>
      <c r="M23" s="17"/>
      <c r="N23" s="17"/>
      <c r="P23" s="15"/>
      <c r="Q23" s="15"/>
      <c r="R23" s="15"/>
      <c r="S23" s="15"/>
      <c r="AF23" s="182"/>
      <c r="AJ23" s="182"/>
      <c r="BD23" s="15"/>
      <c r="BZ23" s="145"/>
    </row>
    <row r="24" spans="1:144" outlineLevel="1">
      <c r="A24" s="1" t="s">
        <v>11</v>
      </c>
      <c r="B24" s="1" t="s">
        <v>36</v>
      </c>
      <c r="C24" s="4" t="s">
        <v>37</v>
      </c>
      <c r="D24" s="8">
        <v>0</v>
      </c>
      <c r="E24" s="28">
        <v>0</v>
      </c>
      <c r="F24" s="8">
        <v>29000</v>
      </c>
      <c r="G24" s="28">
        <v>100</v>
      </c>
      <c r="H24" s="9">
        <v>29000</v>
      </c>
      <c r="I24" s="14">
        <v>29000</v>
      </c>
      <c r="J24" s="14"/>
      <c r="L24" s="118">
        <v>0</v>
      </c>
      <c r="M24" s="17">
        <f>L24/F24-1</f>
        <v>-1</v>
      </c>
      <c r="N24" s="17">
        <f>L24/I24-1</f>
        <v>-1</v>
      </c>
      <c r="P24" s="15"/>
      <c r="Q24" s="15"/>
      <c r="R24" s="15"/>
      <c r="S24" s="15"/>
      <c r="X24" s="118">
        <f>448750+31000</f>
        <v>479750</v>
      </c>
      <c r="Z24" s="118">
        <v>479750</v>
      </c>
      <c r="AB24" s="187">
        <f t="shared" ref="AB24:AB30" si="71">Z24-X24</f>
        <v>0</v>
      </c>
      <c r="AC24" s="187"/>
      <c r="AD24" s="118">
        <v>479750</v>
      </c>
      <c r="AE24" s="187"/>
      <c r="AF24" s="182"/>
      <c r="AG24" s="187"/>
      <c r="AH24" s="118">
        <v>479750</v>
      </c>
      <c r="AI24" s="187"/>
      <c r="AJ24" s="182"/>
      <c r="AL24" s="15">
        <v>479750</v>
      </c>
      <c r="AM24" s="189"/>
      <c r="AN24" s="15">
        <v>0</v>
      </c>
      <c r="AO24" s="17"/>
      <c r="AP24" s="17">
        <f t="shared" ref="AP24:AP30" si="72">AN24/AH24</f>
        <v>0</v>
      </c>
      <c r="AQ24" s="17">
        <f t="shared" ref="AQ24:AQ30" si="73">AN24/AL24</f>
        <v>0</v>
      </c>
      <c r="AZ24">
        <v>12613.07</v>
      </c>
      <c r="BA24" s="15">
        <f t="shared" ref="BA24:BA30" si="74">AN24+AZ24</f>
        <v>12613.07</v>
      </c>
      <c r="BD24" s="15">
        <f t="shared" si="34"/>
        <v>12613.07</v>
      </c>
      <c r="BF24">
        <v>49297.26</v>
      </c>
      <c r="BG24" s="189">
        <f>BD24+BF24</f>
        <v>61910.33</v>
      </c>
      <c r="BI24" s="189">
        <f>95598.24-BG24</f>
        <v>33687.910000000003</v>
      </c>
      <c r="BJ24" s="189">
        <f t="shared" ref="BJ24:BJ30" si="75">BG24+BI24</f>
        <v>95598.24</v>
      </c>
      <c r="BL24" s="15">
        <v>95598.24</v>
      </c>
      <c r="BM24" s="235">
        <f t="shared" si="37"/>
        <v>1</v>
      </c>
      <c r="BO24" s="15">
        <v>0</v>
      </c>
      <c r="BP24" s="235">
        <f t="shared" ref="BP24:BP28" si="76">BO24/BL24</f>
        <v>0</v>
      </c>
      <c r="BR24" s="15">
        <v>17926.07</v>
      </c>
      <c r="BS24" s="15">
        <f t="shared" ref="BS24:BS30" si="77">BO24+BR24</f>
        <v>17926.07</v>
      </c>
      <c r="BU24" s="227">
        <v>674</v>
      </c>
      <c r="BV24" s="15">
        <f t="shared" ref="BV24:BV30" si="78">BS24+BU24</f>
        <v>18600.07</v>
      </c>
      <c r="BY24" s="15">
        <f t="shared" ref="BY24:BY31" si="79">BV24+BX24</f>
        <v>18600.07</v>
      </c>
      <c r="BZ24" s="145">
        <v>32000</v>
      </c>
      <c r="CB24" s="15">
        <f t="shared" ref="CB24:CB31" si="80">BY24+CA24</f>
        <v>18600.07</v>
      </c>
      <c r="CD24" s="227">
        <v>41000</v>
      </c>
      <c r="CE24" s="15">
        <f t="shared" ref="CE24:CE31" si="81">CB24+CD24</f>
        <v>59600.07</v>
      </c>
      <c r="CH24" s="15">
        <f t="shared" ref="CH24:CH31" si="82">CE24+CG24</f>
        <v>59600.07</v>
      </c>
      <c r="CK24" s="15">
        <f t="shared" ref="CK24:CK31" si="83">CH24+CJ24</f>
        <v>59600.07</v>
      </c>
      <c r="CM24" s="346">
        <v>399.92</v>
      </c>
      <c r="CN24" s="15">
        <f t="shared" ref="CN24:CN31" si="84">CK24+CM24</f>
        <v>59999.99</v>
      </c>
      <c r="CP24" s="15">
        <v>59999.92</v>
      </c>
      <c r="CR24" s="15">
        <v>38600</v>
      </c>
      <c r="CS24" s="235">
        <f>CR24/CP24</f>
        <v>0.64333419111225487</v>
      </c>
      <c r="CU24" s="189"/>
      <c r="CV24" s="15">
        <f t="shared" ref="CV24:CV31" si="85">CR24+CU24</f>
        <v>38600</v>
      </c>
      <c r="CX24" s="189"/>
      <c r="CY24" s="15">
        <f t="shared" ref="CY24:CY31" si="86">CV24+CX24</f>
        <v>38600</v>
      </c>
      <c r="DA24" s="189"/>
      <c r="DB24" s="15">
        <f t="shared" ref="DB24:DB31" si="87">CY24+DA24</f>
        <v>38600</v>
      </c>
      <c r="DD24" s="189"/>
      <c r="DE24" s="15">
        <f t="shared" ref="DE24:DE31" si="88">DB24+DD24</f>
        <v>38600</v>
      </c>
      <c r="DG24" s="189"/>
      <c r="DH24" s="15">
        <f t="shared" ref="DH24:DH31" si="89">DE24+DG24</f>
        <v>38600</v>
      </c>
      <c r="DJ24" s="189"/>
      <c r="DK24" s="15">
        <f t="shared" ref="DK24:DK31" si="90">DH24+DJ24</f>
        <v>38600</v>
      </c>
      <c r="DM24" s="189"/>
      <c r="DN24" s="15">
        <f t="shared" ref="DN24:DN31" si="91">DK24+DM24</f>
        <v>38600</v>
      </c>
      <c r="DP24" s="189"/>
      <c r="DQ24" s="15">
        <f t="shared" ref="DQ24:DQ31" si="92">DN24+DP24</f>
        <v>38600</v>
      </c>
      <c r="DS24" s="15">
        <v>38600</v>
      </c>
      <c r="DU24" s="15">
        <v>0</v>
      </c>
      <c r="DV24" s="235">
        <f t="shared" ref="DV24:DV29" si="93">DU24/DS24</f>
        <v>0</v>
      </c>
      <c r="DW24" s="189"/>
      <c r="DX24" s="15">
        <f t="shared" ref="DX24:DX28" si="94">DU24+DW24</f>
        <v>0</v>
      </c>
      <c r="DZ24" s="227">
        <v>32000</v>
      </c>
      <c r="EA24" s="15">
        <f t="shared" ref="EA24:EA31" si="95">DX24+DZ24</f>
        <v>32000</v>
      </c>
      <c r="EC24" s="227">
        <v>48000</v>
      </c>
      <c r="ED24" s="15">
        <f t="shared" ref="ED24:ED31" si="96">EA24+EC24</f>
        <v>80000</v>
      </c>
      <c r="EG24" s="15">
        <f t="shared" ref="EG24:EG31" si="97">ED24+EF24</f>
        <v>80000</v>
      </c>
      <c r="EI24" s="15">
        <v>80000</v>
      </c>
      <c r="EL24" s="235">
        <f t="shared" si="41"/>
        <v>0</v>
      </c>
    </row>
    <row r="25" spans="1:144" outlineLevel="1">
      <c r="A25" s="1" t="s">
        <v>11</v>
      </c>
      <c r="B25" s="1" t="s">
        <v>38</v>
      </c>
      <c r="C25" s="4" t="s">
        <v>39</v>
      </c>
      <c r="D25" s="8">
        <v>76800</v>
      </c>
      <c r="E25" s="28">
        <v>83.33</v>
      </c>
      <c r="F25" s="8">
        <v>76800</v>
      </c>
      <c r="G25" s="28">
        <v>83.33</v>
      </c>
      <c r="H25" s="9">
        <v>64000</v>
      </c>
      <c r="I25" s="14">
        <v>76800</v>
      </c>
      <c r="J25" s="14"/>
      <c r="L25" s="118">
        <v>76800</v>
      </c>
      <c r="M25" s="17">
        <f>L25/F25-1</f>
        <v>0</v>
      </c>
      <c r="N25" s="17">
        <f>L25/I25-1</f>
        <v>0</v>
      </c>
      <c r="P25" s="15"/>
      <c r="Q25" s="15"/>
      <c r="R25" s="15"/>
      <c r="S25" s="15"/>
      <c r="X25" s="118">
        <v>78500</v>
      </c>
      <c r="Z25" s="118">
        <v>78500</v>
      </c>
      <c r="AB25" s="187">
        <f t="shared" si="71"/>
        <v>0</v>
      </c>
      <c r="AC25" s="187"/>
      <c r="AD25" s="118">
        <v>78500</v>
      </c>
      <c r="AE25" s="187"/>
      <c r="AF25" s="182"/>
      <c r="AG25" s="187"/>
      <c r="AH25" s="118">
        <v>78500</v>
      </c>
      <c r="AI25" s="187"/>
      <c r="AJ25" s="182"/>
      <c r="AL25" s="15">
        <v>78500</v>
      </c>
      <c r="AM25" s="189"/>
      <c r="AN25" s="15">
        <v>84000</v>
      </c>
      <c r="AO25" s="17">
        <f t="shared" ref="AO25" si="98">AN25/L25-1</f>
        <v>9.375E-2</v>
      </c>
      <c r="AP25" s="17">
        <f t="shared" ref="AP25" si="99">AN25/AH25-1</f>
        <v>7.0063694267515908E-2</v>
      </c>
      <c r="AQ25" s="17">
        <f t="shared" ref="AQ25" si="100">AN25/AL25-1</f>
        <v>7.0063694267515908E-2</v>
      </c>
      <c r="AZ25">
        <v>500</v>
      </c>
      <c r="BA25" s="15">
        <f t="shared" si="74"/>
        <v>84500</v>
      </c>
      <c r="BD25" s="15">
        <f t="shared" si="34"/>
        <v>84500</v>
      </c>
      <c r="BG25" s="15">
        <f>BD25</f>
        <v>84500</v>
      </c>
      <c r="BJ25" s="15">
        <f t="shared" si="75"/>
        <v>84500</v>
      </c>
      <c r="BL25" s="15">
        <v>84500</v>
      </c>
      <c r="BM25" s="235">
        <f t="shared" si="37"/>
        <v>1</v>
      </c>
      <c r="BO25" s="15">
        <f>6900*12</f>
        <v>82800</v>
      </c>
      <c r="BP25" s="235">
        <f t="shared" si="76"/>
        <v>0.97988165680473371</v>
      </c>
      <c r="BS25" s="15">
        <f t="shared" si="77"/>
        <v>82800</v>
      </c>
      <c r="BV25" s="15">
        <f t="shared" si="78"/>
        <v>82800</v>
      </c>
      <c r="BY25" s="15">
        <f t="shared" si="79"/>
        <v>82800</v>
      </c>
      <c r="BZ25" s="145">
        <v>-200</v>
      </c>
      <c r="CA25" s="15">
        <v>200</v>
      </c>
      <c r="CB25" s="15">
        <f t="shared" si="80"/>
        <v>83000</v>
      </c>
      <c r="CE25" s="15">
        <f t="shared" si="81"/>
        <v>83000</v>
      </c>
      <c r="CH25" s="15">
        <f t="shared" si="82"/>
        <v>83000</v>
      </c>
      <c r="CK25" s="15">
        <f t="shared" si="83"/>
        <v>83000</v>
      </c>
      <c r="CN25" s="15">
        <f t="shared" si="84"/>
        <v>83000</v>
      </c>
      <c r="CP25" s="15">
        <v>83000</v>
      </c>
      <c r="CR25" s="15">
        <v>84700</v>
      </c>
      <c r="CS25" s="235">
        <f>CR25/CP25</f>
        <v>1.0204819277108435</v>
      </c>
      <c r="CV25" s="15">
        <f t="shared" si="85"/>
        <v>84700</v>
      </c>
      <c r="CY25" s="15">
        <f t="shared" si="86"/>
        <v>84700</v>
      </c>
      <c r="DB25" s="15">
        <f t="shared" si="87"/>
        <v>84700</v>
      </c>
      <c r="DE25" s="15">
        <f t="shared" si="88"/>
        <v>84700</v>
      </c>
      <c r="DH25" s="15">
        <f t="shared" si="89"/>
        <v>84700</v>
      </c>
      <c r="DK25" s="15">
        <f t="shared" si="90"/>
        <v>84700</v>
      </c>
      <c r="DN25" s="15">
        <f t="shared" si="91"/>
        <v>84700</v>
      </c>
      <c r="DQ25" s="15">
        <f t="shared" si="92"/>
        <v>84700</v>
      </c>
      <c r="DS25" s="15">
        <v>84700</v>
      </c>
      <c r="DU25" s="15">
        <v>79700</v>
      </c>
      <c r="DV25" s="235">
        <f t="shared" si="93"/>
        <v>0.94096812278630459</v>
      </c>
      <c r="DX25" s="15">
        <f t="shared" si="94"/>
        <v>79700</v>
      </c>
      <c r="EA25" s="15">
        <f t="shared" si="95"/>
        <v>79700</v>
      </c>
      <c r="ED25" s="15">
        <f t="shared" si="96"/>
        <v>79700</v>
      </c>
      <c r="EG25" s="15">
        <f t="shared" si="97"/>
        <v>79700</v>
      </c>
      <c r="EI25" s="15">
        <v>79700</v>
      </c>
      <c r="EK25" s="15">
        <v>80300</v>
      </c>
      <c r="EL25" s="235">
        <f t="shared" si="41"/>
        <v>1.0075282308657465</v>
      </c>
    </row>
    <row r="26" spans="1:144" outlineLevel="1">
      <c r="A26" s="1" t="s">
        <v>11</v>
      </c>
      <c r="B26" s="1" t="s">
        <v>603</v>
      </c>
      <c r="C26" s="4" t="s">
        <v>43</v>
      </c>
      <c r="D26" s="8"/>
      <c r="E26" s="28"/>
      <c r="F26" s="8"/>
      <c r="G26" s="28"/>
      <c r="H26" s="9"/>
      <c r="I26" s="14"/>
      <c r="J26" s="14"/>
      <c r="M26" s="17"/>
      <c r="N26" s="17"/>
      <c r="P26" s="15"/>
      <c r="Q26" s="15"/>
      <c r="R26" s="15"/>
      <c r="S26" s="15"/>
      <c r="X26" s="118"/>
      <c r="AB26" s="187"/>
      <c r="AC26" s="187"/>
      <c r="AE26" s="187"/>
      <c r="AF26" s="182"/>
      <c r="AG26" s="187"/>
      <c r="AI26" s="187"/>
      <c r="AJ26" s="182"/>
      <c r="AM26" s="189"/>
      <c r="AO26" s="17"/>
      <c r="AP26" s="17"/>
      <c r="AQ26" s="17"/>
      <c r="BA26" s="15"/>
      <c r="BD26" s="15"/>
      <c r="BG26" s="15"/>
      <c r="BJ26" s="15"/>
      <c r="BM26" s="235"/>
      <c r="BP26" s="235"/>
      <c r="BS26" s="15"/>
      <c r="BV26" s="15"/>
      <c r="BY26" s="15"/>
      <c r="BZ26" s="145"/>
      <c r="CB26" s="15"/>
      <c r="CE26" s="15"/>
      <c r="CH26" s="15"/>
      <c r="CK26" s="15"/>
      <c r="CN26" s="15"/>
      <c r="CS26" s="235"/>
      <c r="CV26" s="15"/>
      <c r="CX26" s="227">
        <v>241650</v>
      </c>
      <c r="CY26" s="15">
        <f t="shared" si="86"/>
        <v>241650</v>
      </c>
      <c r="DB26" s="15">
        <f t="shared" si="87"/>
        <v>241650</v>
      </c>
      <c r="DE26" s="15">
        <f t="shared" si="88"/>
        <v>241650</v>
      </c>
      <c r="DH26" s="15">
        <f t="shared" si="89"/>
        <v>241650</v>
      </c>
      <c r="DK26" s="15">
        <f t="shared" si="90"/>
        <v>241650</v>
      </c>
      <c r="DN26" s="15">
        <f t="shared" si="91"/>
        <v>241650</v>
      </c>
      <c r="DQ26" s="15">
        <f t="shared" si="92"/>
        <v>241650</v>
      </c>
      <c r="DS26" s="15">
        <v>241650</v>
      </c>
      <c r="DU26" s="15">
        <v>0</v>
      </c>
      <c r="DV26" s="235">
        <f t="shared" si="93"/>
        <v>0</v>
      </c>
      <c r="DX26" s="15">
        <f t="shared" si="94"/>
        <v>0</v>
      </c>
      <c r="EA26" s="15">
        <f t="shared" si="95"/>
        <v>0</v>
      </c>
      <c r="ED26" s="15">
        <f t="shared" si="96"/>
        <v>0</v>
      </c>
      <c r="EG26" s="15">
        <f t="shared" si="97"/>
        <v>0</v>
      </c>
    </row>
    <row r="27" spans="1:144" ht="13.5" customHeight="1" outlineLevel="1">
      <c r="A27" s="1" t="s">
        <v>11</v>
      </c>
      <c r="B27" s="1" t="s">
        <v>40</v>
      </c>
      <c r="C27" s="4" t="s">
        <v>41</v>
      </c>
      <c r="D27" s="8">
        <v>0</v>
      </c>
      <c r="E27" s="28">
        <v>0</v>
      </c>
      <c r="F27" s="8">
        <v>0</v>
      </c>
      <c r="G27" s="28">
        <v>0</v>
      </c>
      <c r="H27" s="9">
        <v>44003</v>
      </c>
      <c r="I27" s="14">
        <v>44003</v>
      </c>
      <c r="J27" s="14"/>
      <c r="L27" s="118">
        <v>0</v>
      </c>
      <c r="M27" s="17" t="e">
        <f>L27/F27-1</f>
        <v>#DIV/0!</v>
      </c>
      <c r="N27" s="17">
        <f>L27/I27-1</f>
        <v>-1</v>
      </c>
      <c r="P27" s="15"/>
      <c r="Q27" s="15"/>
      <c r="R27" s="15"/>
      <c r="S27" s="15"/>
      <c r="U27" s="118">
        <v>85500</v>
      </c>
      <c r="X27" s="118">
        <f>15065+70435</f>
        <v>85500</v>
      </c>
      <c r="Z27" s="118">
        <v>85500</v>
      </c>
      <c r="AB27" s="187">
        <f t="shared" si="71"/>
        <v>0</v>
      </c>
      <c r="AC27" s="187"/>
      <c r="AD27" s="118">
        <v>85500</v>
      </c>
      <c r="AE27" s="187"/>
      <c r="AF27" s="182"/>
      <c r="AG27" s="187"/>
      <c r="AH27" s="118">
        <v>85500</v>
      </c>
      <c r="AI27" s="187"/>
      <c r="AJ27" s="182"/>
      <c r="AL27" s="15">
        <v>78161</v>
      </c>
      <c r="AM27" s="189"/>
      <c r="AN27" s="15">
        <v>0</v>
      </c>
      <c r="AO27" s="17"/>
      <c r="AP27" s="17">
        <f t="shared" si="72"/>
        <v>0</v>
      </c>
      <c r="AQ27" s="17">
        <f t="shared" si="73"/>
        <v>0</v>
      </c>
      <c r="AZ27">
        <v>17343</v>
      </c>
      <c r="BA27" s="15">
        <f t="shared" si="74"/>
        <v>17343</v>
      </c>
      <c r="BD27" s="15">
        <f t="shared" si="34"/>
        <v>17343</v>
      </c>
      <c r="BG27" s="15">
        <f t="shared" ref="BG27:BG30" si="101">BD27</f>
        <v>17343</v>
      </c>
      <c r="BH27" s="228">
        <v>98428</v>
      </c>
      <c r="BI27" s="227">
        <v>30000</v>
      </c>
      <c r="BJ27" s="227">
        <f>BH27+BI27</f>
        <v>128428</v>
      </c>
      <c r="BK27" s="228"/>
      <c r="BL27" s="15">
        <v>127373</v>
      </c>
      <c r="BM27" s="235">
        <f t="shared" si="37"/>
        <v>0.99178528046843373</v>
      </c>
      <c r="BO27" s="15">
        <v>1145500</v>
      </c>
      <c r="BP27" s="235">
        <f t="shared" si="76"/>
        <v>8.9932717294874109</v>
      </c>
      <c r="BS27" s="15">
        <f t="shared" si="77"/>
        <v>1145500</v>
      </c>
      <c r="BV27" s="15">
        <f t="shared" si="78"/>
        <v>1145500</v>
      </c>
      <c r="BY27" s="15">
        <f t="shared" si="79"/>
        <v>1145500</v>
      </c>
      <c r="BZ27" s="145">
        <v>26048</v>
      </c>
      <c r="CA27" s="15">
        <v>-200</v>
      </c>
      <c r="CB27" s="15">
        <f t="shared" si="80"/>
        <v>1145300</v>
      </c>
      <c r="CD27" s="227">
        <v>60000</v>
      </c>
      <c r="CE27" s="15">
        <f t="shared" si="81"/>
        <v>1205300</v>
      </c>
      <c r="CH27" s="15">
        <f t="shared" si="82"/>
        <v>1205300</v>
      </c>
      <c r="CJ27" s="227">
        <v>14500</v>
      </c>
      <c r="CK27" s="15">
        <f t="shared" si="83"/>
        <v>1219800</v>
      </c>
      <c r="CM27" s="227">
        <v>-252</v>
      </c>
      <c r="CN27" s="15">
        <f t="shared" si="84"/>
        <v>1219548</v>
      </c>
      <c r="CP27" s="15">
        <v>1219548</v>
      </c>
      <c r="CR27" s="15">
        <v>0</v>
      </c>
      <c r="CS27" s="235">
        <f>CR27/CP27</f>
        <v>0</v>
      </c>
      <c r="CV27" s="15">
        <f t="shared" si="85"/>
        <v>0</v>
      </c>
      <c r="CY27" s="15">
        <f t="shared" si="86"/>
        <v>0</v>
      </c>
      <c r="DB27" s="15">
        <f t="shared" si="87"/>
        <v>0</v>
      </c>
      <c r="DD27" s="227">
        <v>96000</v>
      </c>
      <c r="DE27" s="15">
        <f t="shared" si="88"/>
        <v>96000</v>
      </c>
      <c r="DH27" s="15">
        <f t="shared" si="89"/>
        <v>96000</v>
      </c>
      <c r="DK27" s="15">
        <f t="shared" si="90"/>
        <v>96000</v>
      </c>
      <c r="DM27" s="227">
        <v>16000</v>
      </c>
      <c r="DN27" s="15">
        <f t="shared" si="91"/>
        <v>112000</v>
      </c>
      <c r="DQ27" s="15">
        <f t="shared" si="92"/>
        <v>112000</v>
      </c>
      <c r="DS27" s="15">
        <v>112000</v>
      </c>
      <c r="DU27" s="15">
        <v>0</v>
      </c>
      <c r="DV27" s="235">
        <f t="shared" si="93"/>
        <v>0</v>
      </c>
      <c r="DX27" s="15">
        <f t="shared" si="94"/>
        <v>0</v>
      </c>
      <c r="DZ27" s="227">
        <v>40500</v>
      </c>
      <c r="EA27" s="15">
        <f t="shared" si="95"/>
        <v>40500</v>
      </c>
      <c r="ED27" s="15">
        <f t="shared" si="96"/>
        <v>40500</v>
      </c>
      <c r="EF27" s="227">
        <f>58971-ED27</f>
        <v>18471</v>
      </c>
      <c r="EG27" s="15">
        <f t="shared" si="97"/>
        <v>58971</v>
      </c>
      <c r="EI27" s="15">
        <v>58971</v>
      </c>
      <c r="EL27" s="235">
        <f t="shared" si="41"/>
        <v>0</v>
      </c>
    </row>
    <row r="28" spans="1:144" outlineLevel="1">
      <c r="A28" s="1" t="s">
        <v>11</v>
      </c>
      <c r="B28" s="1" t="s">
        <v>42</v>
      </c>
      <c r="C28" s="4" t="s">
        <v>43</v>
      </c>
      <c r="D28" s="8">
        <v>0</v>
      </c>
      <c r="E28" s="28">
        <v>0</v>
      </c>
      <c r="F28" s="8">
        <v>114600</v>
      </c>
      <c r="G28" s="28">
        <v>100</v>
      </c>
      <c r="H28" s="9">
        <v>114600</v>
      </c>
      <c r="I28" s="14">
        <v>114600</v>
      </c>
      <c r="J28" s="14"/>
      <c r="L28" s="118">
        <v>0</v>
      </c>
      <c r="M28" s="17">
        <f>L28/F28-1</f>
        <v>-1</v>
      </c>
      <c r="N28" s="17">
        <f>L28/I28-1</f>
        <v>-1</v>
      </c>
      <c r="P28" s="15"/>
      <c r="Q28" s="15"/>
      <c r="R28" s="15"/>
      <c r="S28" s="15"/>
      <c r="X28" s="118">
        <v>110500</v>
      </c>
      <c r="Z28" s="118">
        <v>110500</v>
      </c>
      <c r="AB28" s="187">
        <f t="shared" si="71"/>
        <v>0</v>
      </c>
      <c r="AC28" s="187"/>
      <c r="AD28" s="118">
        <v>110500</v>
      </c>
      <c r="AE28" s="187"/>
      <c r="AF28" s="182"/>
      <c r="AG28" s="187"/>
      <c r="AH28" s="118">
        <v>110500</v>
      </c>
      <c r="AI28" s="187"/>
      <c r="AJ28" s="182"/>
      <c r="AL28" s="15">
        <v>110500</v>
      </c>
      <c r="AM28" s="189"/>
      <c r="AN28" s="15">
        <v>0</v>
      </c>
      <c r="AO28" s="17"/>
      <c r="AP28" s="17">
        <f t="shared" si="72"/>
        <v>0</v>
      </c>
      <c r="AQ28" s="17">
        <f t="shared" si="73"/>
        <v>0</v>
      </c>
      <c r="AZ28">
        <v>100000</v>
      </c>
      <c r="BA28" s="15">
        <f t="shared" si="74"/>
        <v>100000</v>
      </c>
      <c r="BD28" s="15">
        <f t="shared" si="34"/>
        <v>100000</v>
      </c>
      <c r="BG28" s="15">
        <f t="shared" si="101"/>
        <v>100000</v>
      </c>
      <c r="BJ28" s="15">
        <f t="shared" si="75"/>
        <v>100000</v>
      </c>
      <c r="BL28" s="15">
        <v>100000</v>
      </c>
      <c r="BM28" s="235">
        <f t="shared" si="37"/>
        <v>1</v>
      </c>
      <c r="BO28" s="15">
        <v>0</v>
      </c>
      <c r="BP28" s="235">
        <f t="shared" si="76"/>
        <v>0</v>
      </c>
      <c r="BR28" s="15">
        <v>14800</v>
      </c>
      <c r="BS28" s="15">
        <f t="shared" si="77"/>
        <v>14800</v>
      </c>
      <c r="BV28" s="15">
        <f t="shared" si="78"/>
        <v>14800</v>
      </c>
      <c r="BY28" s="15">
        <f t="shared" si="79"/>
        <v>14800</v>
      </c>
      <c r="BZ28" s="145"/>
      <c r="CB28" s="15">
        <f t="shared" si="80"/>
        <v>14800</v>
      </c>
      <c r="CE28" s="15">
        <f t="shared" si="81"/>
        <v>14800</v>
      </c>
      <c r="CH28" s="15">
        <f t="shared" si="82"/>
        <v>14800</v>
      </c>
      <c r="CK28" s="15">
        <f t="shared" si="83"/>
        <v>14800</v>
      </c>
      <c r="CN28" s="15">
        <f t="shared" si="84"/>
        <v>14800</v>
      </c>
      <c r="CP28" s="15">
        <v>14800</v>
      </c>
      <c r="CR28" s="15">
        <v>0</v>
      </c>
      <c r="CS28" s="235">
        <f>CR28/CP28</f>
        <v>0</v>
      </c>
      <c r="CV28" s="15">
        <f t="shared" si="85"/>
        <v>0</v>
      </c>
      <c r="CX28" s="227">
        <v>130000</v>
      </c>
      <c r="CY28" s="15">
        <f t="shared" si="86"/>
        <v>130000</v>
      </c>
      <c r="DB28" s="15">
        <f t="shared" si="87"/>
        <v>130000</v>
      </c>
      <c r="DE28" s="15">
        <f t="shared" si="88"/>
        <v>130000</v>
      </c>
      <c r="DG28" s="227">
        <v>22000</v>
      </c>
      <c r="DH28" s="15">
        <f t="shared" si="89"/>
        <v>152000</v>
      </c>
      <c r="DK28" s="15">
        <f t="shared" si="90"/>
        <v>152000</v>
      </c>
      <c r="DN28" s="15">
        <f t="shared" si="91"/>
        <v>152000</v>
      </c>
      <c r="DQ28" s="15">
        <v>151458</v>
      </c>
      <c r="DS28" s="15">
        <v>151458</v>
      </c>
      <c r="DU28" s="15">
        <v>100000</v>
      </c>
      <c r="DV28" s="235">
        <f t="shared" si="93"/>
        <v>0.66024904594012856</v>
      </c>
      <c r="DX28" s="15">
        <f t="shared" si="94"/>
        <v>100000</v>
      </c>
      <c r="EA28" s="15">
        <f t="shared" si="95"/>
        <v>100000</v>
      </c>
      <c r="ED28" s="15">
        <f t="shared" si="96"/>
        <v>100000</v>
      </c>
      <c r="EG28" s="15">
        <f t="shared" si="97"/>
        <v>100000</v>
      </c>
      <c r="EI28" s="15">
        <v>100000</v>
      </c>
      <c r="EL28" s="235">
        <f t="shared" si="41"/>
        <v>0</v>
      </c>
      <c r="EN28" s="15">
        <v>100000</v>
      </c>
    </row>
    <row r="29" spans="1:144" outlineLevel="1">
      <c r="A29" s="1" t="s">
        <v>11</v>
      </c>
      <c r="B29" s="1" t="s">
        <v>44</v>
      </c>
      <c r="C29" s="4" t="s">
        <v>45</v>
      </c>
      <c r="D29" s="8">
        <v>803000</v>
      </c>
      <c r="E29" s="28">
        <v>100.09</v>
      </c>
      <c r="F29" s="8">
        <v>803731.54</v>
      </c>
      <c r="G29" s="28">
        <v>100</v>
      </c>
      <c r="H29" s="9">
        <v>803731.54</v>
      </c>
      <c r="I29" s="14">
        <v>803731.54</v>
      </c>
      <c r="J29" s="14"/>
      <c r="L29" s="118">
        <v>0</v>
      </c>
      <c r="M29" s="17">
        <f>L29/F29-1</f>
        <v>-1</v>
      </c>
      <c r="N29" s="17">
        <f>L29/I29-1</f>
        <v>-1</v>
      </c>
      <c r="P29" s="15"/>
      <c r="Q29" s="15"/>
      <c r="R29" s="15"/>
      <c r="S29" s="15"/>
      <c r="X29" s="118">
        <v>450000</v>
      </c>
      <c r="Z29" s="118">
        <v>450000</v>
      </c>
      <c r="AB29" s="187">
        <f t="shared" si="71"/>
        <v>0</v>
      </c>
      <c r="AC29" s="187"/>
      <c r="AD29" s="118">
        <v>450000</v>
      </c>
      <c r="AE29" s="187"/>
      <c r="AF29" s="182"/>
      <c r="AG29" s="187"/>
      <c r="AH29" s="118">
        <v>450000</v>
      </c>
      <c r="AI29" s="187"/>
      <c r="AJ29" s="182"/>
      <c r="AL29" s="15">
        <v>450000</v>
      </c>
      <c r="AM29" s="189"/>
      <c r="AN29" s="15">
        <v>0</v>
      </c>
      <c r="AO29" s="17"/>
      <c r="AP29" s="17">
        <f t="shared" si="72"/>
        <v>0</v>
      </c>
      <c r="AQ29" s="17">
        <f t="shared" si="73"/>
        <v>0</v>
      </c>
      <c r="AZ29">
        <v>81085</v>
      </c>
      <c r="BA29" s="15">
        <f t="shared" si="74"/>
        <v>81085</v>
      </c>
      <c r="BD29" s="15">
        <f t="shared" si="34"/>
        <v>81085</v>
      </c>
      <c r="BG29" s="15">
        <f t="shared" si="101"/>
        <v>81085</v>
      </c>
      <c r="BI29" s="227"/>
      <c r="BJ29" s="15"/>
      <c r="BN29" s="234"/>
      <c r="BO29" s="234"/>
      <c r="BS29" s="15">
        <f t="shared" si="77"/>
        <v>0</v>
      </c>
      <c r="BV29" s="15">
        <f t="shared" si="78"/>
        <v>0</v>
      </c>
      <c r="BY29" s="15">
        <f t="shared" si="79"/>
        <v>0</v>
      </c>
      <c r="BZ29" s="145"/>
      <c r="CB29" s="15">
        <f t="shared" si="80"/>
        <v>0</v>
      </c>
      <c r="CE29" s="15">
        <f t="shared" si="81"/>
        <v>0</v>
      </c>
      <c r="CH29" s="15">
        <f t="shared" si="82"/>
        <v>0</v>
      </c>
      <c r="CK29" s="15">
        <f t="shared" si="83"/>
        <v>0</v>
      </c>
      <c r="CN29" s="15">
        <f t="shared" si="84"/>
        <v>0</v>
      </c>
      <c r="CV29" s="15">
        <f t="shared" si="85"/>
        <v>0</v>
      </c>
      <c r="CY29" s="15">
        <f t="shared" si="86"/>
        <v>0</v>
      </c>
      <c r="DA29" s="227">
        <v>995684</v>
      </c>
      <c r="DB29" s="15">
        <f t="shared" si="87"/>
        <v>995684</v>
      </c>
      <c r="DE29" s="15">
        <f t="shared" si="88"/>
        <v>995684</v>
      </c>
      <c r="DH29" s="15">
        <f t="shared" si="89"/>
        <v>995684</v>
      </c>
      <c r="DK29" s="15">
        <f t="shared" si="90"/>
        <v>995684</v>
      </c>
      <c r="DM29" s="15">
        <v>-52</v>
      </c>
      <c r="DN29" s="15">
        <f t="shared" si="91"/>
        <v>995632</v>
      </c>
      <c r="DQ29" s="15">
        <f t="shared" si="92"/>
        <v>995632</v>
      </c>
      <c r="DS29" s="15">
        <v>995632</v>
      </c>
      <c r="DU29" s="15">
        <v>0</v>
      </c>
      <c r="DV29" s="235">
        <f t="shared" si="93"/>
        <v>0</v>
      </c>
      <c r="DX29" s="15">
        <f t="shared" ref="DX29:DX31" si="102">DU29+DW29</f>
        <v>0</v>
      </c>
      <c r="EA29" s="15">
        <f t="shared" si="95"/>
        <v>0</v>
      </c>
      <c r="ED29" s="15">
        <f t="shared" si="96"/>
        <v>0</v>
      </c>
      <c r="EG29" s="15">
        <f t="shared" si="97"/>
        <v>0</v>
      </c>
    </row>
    <row r="30" spans="1:144" outlineLevel="1">
      <c r="A30" s="1" t="s">
        <v>11</v>
      </c>
      <c r="B30" s="1" t="s">
        <v>410</v>
      </c>
      <c r="C30" s="4" t="s">
        <v>409</v>
      </c>
      <c r="D30" s="8"/>
      <c r="E30" s="28"/>
      <c r="F30" s="8"/>
      <c r="G30" s="28"/>
      <c r="H30" s="9"/>
      <c r="I30" s="14"/>
      <c r="J30" s="14"/>
      <c r="M30" s="17"/>
      <c r="N30" s="17"/>
      <c r="P30" s="15"/>
      <c r="Q30" s="15"/>
      <c r="R30" s="15"/>
      <c r="S30" s="15"/>
      <c r="X30" s="118">
        <v>100000</v>
      </c>
      <c r="Z30" s="118">
        <v>100000</v>
      </c>
      <c r="AB30" s="187">
        <f t="shared" si="71"/>
        <v>0</v>
      </c>
      <c r="AC30" s="187"/>
      <c r="AD30" s="118">
        <v>100000</v>
      </c>
      <c r="AE30" s="187"/>
      <c r="AF30" s="182"/>
      <c r="AG30" s="187"/>
      <c r="AH30" s="118">
        <v>100000</v>
      </c>
      <c r="AI30" s="187"/>
      <c r="AJ30" s="182"/>
      <c r="AL30" s="15">
        <v>100000</v>
      </c>
      <c r="AM30" s="189"/>
      <c r="AN30" s="15">
        <v>0</v>
      </c>
      <c r="AO30" s="17"/>
      <c r="AP30" s="17">
        <f t="shared" si="72"/>
        <v>0</v>
      </c>
      <c r="AQ30" s="17">
        <f t="shared" si="73"/>
        <v>0</v>
      </c>
      <c r="BA30" s="15">
        <f t="shared" si="74"/>
        <v>0</v>
      </c>
      <c r="BD30" s="15">
        <f t="shared" si="34"/>
        <v>0</v>
      </c>
      <c r="BG30" s="15">
        <f t="shared" si="101"/>
        <v>0</v>
      </c>
      <c r="BJ30" s="15">
        <f t="shared" si="75"/>
        <v>0</v>
      </c>
      <c r="BS30" s="15">
        <f t="shared" si="77"/>
        <v>0</v>
      </c>
      <c r="BV30" s="15">
        <f t="shared" si="78"/>
        <v>0</v>
      </c>
      <c r="BY30" s="15">
        <f t="shared" si="79"/>
        <v>0</v>
      </c>
      <c r="BZ30" s="145"/>
      <c r="CB30" s="15">
        <f t="shared" si="80"/>
        <v>0</v>
      </c>
      <c r="CE30" s="15">
        <f t="shared" si="81"/>
        <v>0</v>
      </c>
      <c r="CH30" s="15">
        <f t="shared" si="82"/>
        <v>0</v>
      </c>
      <c r="CK30" s="15">
        <f t="shared" si="83"/>
        <v>0</v>
      </c>
      <c r="CN30" s="15">
        <f t="shared" si="84"/>
        <v>0</v>
      </c>
      <c r="CV30" s="15">
        <f t="shared" si="85"/>
        <v>0</v>
      </c>
      <c r="CY30" s="15">
        <f t="shared" si="86"/>
        <v>0</v>
      </c>
      <c r="DB30" s="15">
        <f t="shared" si="87"/>
        <v>0</v>
      </c>
      <c r="DE30" s="15">
        <f t="shared" si="88"/>
        <v>0</v>
      </c>
      <c r="DH30" s="15">
        <f t="shared" si="89"/>
        <v>0</v>
      </c>
      <c r="DK30" s="15">
        <f t="shared" si="90"/>
        <v>0</v>
      </c>
      <c r="DN30" s="15">
        <f t="shared" si="91"/>
        <v>0</v>
      </c>
      <c r="DQ30" s="15">
        <f t="shared" si="92"/>
        <v>0</v>
      </c>
      <c r="DS30" s="15">
        <v>0</v>
      </c>
      <c r="DX30" s="15">
        <f t="shared" si="102"/>
        <v>0</v>
      </c>
      <c r="EA30" s="15">
        <f t="shared" si="95"/>
        <v>0</v>
      </c>
      <c r="ED30" s="15">
        <f t="shared" si="96"/>
        <v>0</v>
      </c>
      <c r="EG30" s="15">
        <f t="shared" si="97"/>
        <v>0</v>
      </c>
    </row>
    <row r="31" spans="1:144" outlineLevel="1">
      <c r="A31" s="1" t="s">
        <v>11</v>
      </c>
      <c r="B31" s="1" t="s">
        <v>555</v>
      </c>
      <c r="C31" s="4" t="s">
        <v>556</v>
      </c>
      <c r="D31" s="8">
        <v>5455100</v>
      </c>
      <c r="E31" s="28">
        <v>91.76</v>
      </c>
      <c r="F31" s="8">
        <v>5669374.3399999999</v>
      </c>
      <c r="G31" s="28">
        <v>88.29</v>
      </c>
      <c r="H31" s="9">
        <v>5005574.6500000004</v>
      </c>
      <c r="I31" s="14"/>
      <c r="J31" s="14"/>
      <c r="P31" s="15"/>
      <c r="Q31" s="15"/>
      <c r="R31" s="15"/>
      <c r="S31" s="15"/>
      <c r="AF31" s="182"/>
      <c r="AJ31" s="182"/>
      <c r="BD31" s="15"/>
      <c r="BX31" s="227">
        <v>241888.89</v>
      </c>
      <c r="BY31" s="15">
        <f t="shared" si="79"/>
        <v>241888.89</v>
      </c>
      <c r="BZ31" s="145"/>
      <c r="CB31" s="15">
        <f t="shared" si="80"/>
        <v>241888.89</v>
      </c>
      <c r="CE31" s="15">
        <f t="shared" si="81"/>
        <v>241888.89</v>
      </c>
      <c r="CH31" s="15">
        <f t="shared" si="82"/>
        <v>241888.89</v>
      </c>
      <c r="CK31" s="15">
        <f t="shared" si="83"/>
        <v>241888.89</v>
      </c>
      <c r="CM31" s="227">
        <v>-241889</v>
      </c>
      <c r="CN31" s="15">
        <f t="shared" si="84"/>
        <v>-0.10999999998603016</v>
      </c>
      <c r="CR31" s="15">
        <v>241888.89</v>
      </c>
      <c r="CS31" s="235" t="e">
        <f>CR31/CP31</f>
        <v>#DIV/0!</v>
      </c>
      <c r="CV31" s="15">
        <f t="shared" si="85"/>
        <v>241888.89</v>
      </c>
      <c r="CX31" s="227">
        <v>-241889</v>
      </c>
      <c r="CY31" s="15">
        <f t="shared" si="86"/>
        <v>-0.10999999998603016</v>
      </c>
      <c r="DB31" s="15">
        <f t="shared" si="87"/>
        <v>-0.10999999998603016</v>
      </c>
      <c r="DE31" s="15">
        <f t="shared" si="88"/>
        <v>-0.10999999998603016</v>
      </c>
      <c r="DH31" s="15">
        <f t="shared" si="89"/>
        <v>-0.10999999998603016</v>
      </c>
      <c r="DK31" s="15">
        <f t="shared" si="90"/>
        <v>-0.10999999998603016</v>
      </c>
      <c r="DN31" s="15">
        <f t="shared" si="91"/>
        <v>-0.10999999998603016</v>
      </c>
      <c r="DQ31" s="15">
        <f t="shared" si="92"/>
        <v>-0.10999999998603016</v>
      </c>
      <c r="DS31" s="15">
        <v>0</v>
      </c>
      <c r="DX31" s="15">
        <f t="shared" si="102"/>
        <v>0</v>
      </c>
      <c r="EA31" s="15">
        <f t="shared" si="95"/>
        <v>0</v>
      </c>
      <c r="ED31" s="15">
        <f t="shared" si="96"/>
        <v>0</v>
      </c>
      <c r="EG31" s="15">
        <f t="shared" si="97"/>
        <v>0</v>
      </c>
      <c r="EK31" s="424"/>
      <c r="EL31" s="235" t="e">
        <f t="shared" ref="EL31" si="103">EK31/EI31</f>
        <v>#DIV/0!</v>
      </c>
    </row>
    <row r="32" spans="1:144" outlineLevel="1">
      <c r="A32" s="1" t="s">
        <v>47</v>
      </c>
      <c r="B32" s="4" t="s">
        <v>48</v>
      </c>
      <c r="C32" s="4" t="s">
        <v>0</v>
      </c>
      <c r="D32" s="8">
        <v>5455100</v>
      </c>
      <c r="E32" s="28">
        <v>91.76</v>
      </c>
      <c r="F32" s="8">
        <v>5669374.3399999999</v>
      </c>
      <c r="G32" s="28">
        <v>88.29</v>
      </c>
      <c r="H32" s="9">
        <v>5005574.6500000004</v>
      </c>
      <c r="I32" s="14"/>
      <c r="J32" s="14"/>
      <c r="P32" s="15"/>
      <c r="Q32" s="15"/>
      <c r="R32" s="15"/>
      <c r="S32" s="15"/>
      <c r="AF32" s="182"/>
      <c r="AJ32" s="182"/>
      <c r="BD32" s="15"/>
      <c r="BZ32" s="145"/>
    </row>
    <row r="33" spans="1:142" ht="15.75" thickBot="1">
      <c r="A33" s="24"/>
      <c r="B33" s="25" t="s">
        <v>272</v>
      </c>
      <c r="C33" s="25" t="s">
        <v>293</v>
      </c>
      <c r="D33" s="22">
        <f>SUM(D24:D29)+D100+D101</f>
        <v>929800</v>
      </c>
      <c r="E33" s="30"/>
      <c r="F33" s="22">
        <f>SUM(F24:F29)+F100+F101</f>
        <v>1074131.54</v>
      </c>
      <c r="G33" s="30"/>
      <c r="H33" s="22"/>
      <c r="I33" s="22">
        <f>SUM(I24:I29)+I100+I101</f>
        <v>2152634.54</v>
      </c>
      <c r="J33" s="22"/>
      <c r="K33" s="20"/>
      <c r="L33" s="166">
        <f>SUM(L24:L29)+L100+L101</f>
        <v>76800</v>
      </c>
      <c r="M33" s="23">
        <f>L33/F33-1</f>
        <v>-0.92850037715120071</v>
      </c>
      <c r="N33" s="23">
        <f>L33/I33-1</f>
        <v>-0.96432278746210209</v>
      </c>
      <c r="P33" s="144">
        <f>L33</f>
        <v>76800</v>
      </c>
      <c r="Q33" s="144">
        <f>P33</f>
        <v>76800</v>
      </c>
      <c r="R33" s="144">
        <f>Q33</f>
        <v>76800</v>
      </c>
      <c r="S33" s="144">
        <f>R33</f>
        <v>76800</v>
      </c>
      <c r="U33" s="165">
        <f>739000+U27</f>
        <v>824500</v>
      </c>
      <c r="X33" s="165">
        <f>SUM(X24:X32)</f>
        <v>1304250</v>
      </c>
      <c r="Z33" s="165">
        <f>SUM(Z24:Z32)</f>
        <v>1304250</v>
      </c>
      <c r="AD33" s="165">
        <f>SUM(AD24:AD32)</f>
        <v>1304250</v>
      </c>
      <c r="AF33" s="182"/>
      <c r="AH33" s="165">
        <f>SUM(AH24:AH32)</f>
        <v>1304250</v>
      </c>
      <c r="AJ33" s="182"/>
      <c r="AL33" s="165">
        <f>SUM(AL24:AL32)</f>
        <v>1296911</v>
      </c>
      <c r="AM33" s="191"/>
      <c r="AN33" s="165">
        <f>SUM(AN24:AN32)</f>
        <v>84000</v>
      </c>
      <c r="AO33" s="17">
        <f t="shared" ref="AO33" si="104">AN33/L33-1</f>
        <v>9.375E-2</v>
      </c>
      <c r="AP33" s="17">
        <f t="shared" ref="AP33" si="105">AN33/AH33-1</f>
        <v>-0.93559516963772282</v>
      </c>
      <c r="AQ33" s="17">
        <f t="shared" ref="AQ33" si="106">AN33/AL33-1</f>
        <v>-0.93523071359561294</v>
      </c>
      <c r="AZ33" s="165">
        <f>SUM(AZ24:AZ32)</f>
        <v>211541.07</v>
      </c>
      <c r="BA33" s="165">
        <f>SUM(BA24:BA32)</f>
        <v>295541.07</v>
      </c>
      <c r="BD33" s="165">
        <f>SUM(BD24:BD32)</f>
        <v>295541.07</v>
      </c>
      <c r="BF33" s="165">
        <f>SUM(BF24:BF32)</f>
        <v>49297.26</v>
      </c>
      <c r="BG33" s="165">
        <f>SUM(BG24:BG32)</f>
        <v>344838.33</v>
      </c>
      <c r="BI33" s="165">
        <f>SUM(BI24:BI32)</f>
        <v>63687.91</v>
      </c>
      <c r="BJ33" s="165">
        <f>SUM(BJ24:BJ32)</f>
        <v>408526.24</v>
      </c>
      <c r="BL33" s="166">
        <f>SUM(BL24:BL32)</f>
        <v>407471.24</v>
      </c>
      <c r="BM33" s="240">
        <f>BL33/BJ33</f>
        <v>0.99741754654486825</v>
      </c>
      <c r="BO33" s="165">
        <f>SUM(BO24:BO32)</f>
        <v>1228300</v>
      </c>
      <c r="BP33" s="240">
        <f>BO33/BL33</f>
        <v>3.0144458784379484</v>
      </c>
      <c r="BR33" s="165">
        <f t="shared" ref="BR33:BS33" si="107">SUM(BR24:BR32)</f>
        <v>32726.07</v>
      </c>
      <c r="BS33" s="165">
        <f t="shared" si="107"/>
        <v>1261026.07</v>
      </c>
      <c r="BU33" s="165">
        <f t="shared" ref="BU33:BV33" si="108">SUM(BU24:BU32)</f>
        <v>674</v>
      </c>
      <c r="BV33" s="165">
        <f t="shared" si="108"/>
        <v>1261700.07</v>
      </c>
      <c r="BX33" s="165">
        <f t="shared" ref="BX33:BY33" si="109">SUM(BX24:BX32)</f>
        <v>241888.89</v>
      </c>
      <c r="BY33" s="165">
        <f t="shared" si="109"/>
        <v>1503588.96</v>
      </c>
      <c r="BZ33" s="145"/>
      <c r="CA33" s="319">
        <f t="shared" ref="CA33:CB33" si="110">SUM(CA24:CA32)</f>
        <v>0</v>
      </c>
      <c r="CB33" s="165">
        <f t="shared" si="110"/>
        <v>1503588.96</v>
      </c>
      <c r="CD33" s="165">
        <f t="shared" ref="CD33:CE33" si="111">SUM(CD24:CD32)</f>
        <v>101000</v>
      </c>
      <c r="CE33" s="165">
        <f t="shared" si="111"/>
        <v>1604588.96</v>
      </c>
      <c r="CG33" s="165">
        <f t="shared" ref="CG33:CH33" si="112">SUM(CG24:CG32)</f>
        <v>0</v>
      </c>
      <c r="CH33" s="165">
        <f t="shared" si="112"/>
        <v>1604588.96</v>
      </c>
      <c r="CJ33" s="165">
        <f t="shared" ref="CJ33:CK33" si="113">SUM(CJ24:CJ32)</f>
        <v>14500</v>
      </c>
      <c r="CK33" s="165">
        <f t="shared" si="113"/>
        <v>1619088.96</v>
      </c>
      <c r="CM33" s="165">
        <f t="shared" ref="CM33:CN33" si="114">SUM(CM24:CM32)</f>
        <v>-241741.08</v>
      </c>
      <c r="CN33" s="165">
        <f t="shared" si="114"/>
        <v>1377347.88</v>
      </c>
      <c r="CP33" s="165">
        <f>SUM(CP24:CP32)</f>
        <v>1377347.92</v>
      </c>
      <c r="CR33" s="165">
        <f t="shared" ref="CR33" si="115">SUM(CR24:CR32)</f>
        <v>365188.89</v>
      </c>
      <c r="CS33" s="240">
        <f>CR33/CP33</f>
        <v>0.26513917413110843</v>
      </c>
      <c r="CU33" s="165">
        <f t="shared" ref="CU33:CV33" si="116">SUM(CU24:CU32)</f>
        <v>0</v>
      </c>
      <c r="CV33" s="165">
        <f t="shared" si="116"/>
        <v>365188.89</v>
      </c>
      <c r="CX33" s="165">
        <f>SUM(CX24:CX32)</f>
        <v>129761</v>
      </c>
      <c r="CY33" s="165">
        <f>SUM(CY24:CY32)</f>
        <v>494949.89</v>
      </c>
      <c r="DA33" s="165">
        <f>SUM(DA24:DA32)</f>
        <v>995684</v>
      </c>
      <c r="DB33" s="165">
        <f>SUM(DB24:DB32)</f>
        <v>1490633.8900000001</v>
      </c>
      <c r="DD33" s="165">
        <f>SUM(DD24:DD32)</f>
        <v>96000</v>
      </c>
      <c r="DE33" s="165">
        <f>SUM(DE24:DE32)</f>
        <v>1586633.8900000001</v>
      </c>
      <c r="DG33" s="165">
        <f>SUM(DG24:DG32)</f>
        <v>22000</v>
      </c>
      <c r="DH33" s="165">
        <f>SUM(DH24:DH32)</f>
        <v>1608633.8900000001</v>
      </c>
      <c r="DJ33" s="165">
        <f>SUM(DJ24:DJ32)</f>
        <v>0</v>
      </c>
      <c r="DK33" s="165">
        <f>SUM(DK24:DK32)</f>
        <v>1608633.8900000001</v>
      </c>
      <c r="DM33" s="165">
        <f>SUM(DM24:DM32)</f>
        <v>15948</v>
      </c>
      <c r="DN33" s="165">
        <f>SUM(DN24:DN32)</f>
        <v>1624581.8900000001</v>
      </c>
      <c r="DP33" s="165">
        <f>SUM(DP24:DP32)</f>
        <v>0</v>
      </c>
      <c r="DQ33" s="165">
        <f>SUM(DQ24:DQ32)</f>
        <v>1624039.8900000001</v>
      </c>
      <c r="DS33" s="165">
        <f>SUM(DS24:DS32)</f>
        <v>1624040</v>
      </c>
      <c r="DU33" s="165">
        <f>SUM(DU24:DU32)</f>
        <v>179700</v>
      </c>
      <c r="DV33" s="235">
        <f t="shared" ref="DV33" si="117">DU33/DS33</f>
        <v>0.1106499839905421</v>
      </c>
      <c r="DW33" s="165">
        <f>SUM(DW24:DW32)</f>
        <v>0</v>
      </c>
      <c r="DX33" s="165">
        <f>SUM(DX24:DX32)</f>
        <v>179700</v>
      </c>
      <c r="DY33" s="15">
        <f>DX33-DW33</f>
        <v>179700</v>
      </c>
      <c r="DZ33" s="165">
        <f>SUM(DZ24:DZ32)</f>
        <v>72500</v>
      </c>
      <c r="EA33" s="165">
        <f>SUM(EA24:EA32)</f>
        <v>252200</v>
      </c>
      <c r="EC33" s="165">
        <f>SUM(EC24:EC32)</f>
        <v>48000</v>
      </c>
      <c r="ED33" s="165">
        <f>SUM(ED24:ED32)</f>
        <v>300200</v>
      </c>
      <c r="EF33" s="165">
        <f>SUM(EF24:EF32)</f>
        <v>18471</v>
      </c>
      <c r="EG33" s="165">
        <f>SUM(EG24:EG32)</f>
        <v>318671</v>
      </c>
      <c r="EI33" s="165">
        <f>SUM(EI24:EI32)</f>
        <v>318671</v>
      </c>
      <c r="EK33" s="165">
        <f>SUM(EK24:EK32)</f>
        <v>80300</v>
      </c>
    </row>
    <row r="34" spans="1:142" ht="15.75" outlineLevel="1" thickTop="1">
      <c r="A34" s="10" t="s">
        <v>0</v>
      </c>
      <c r="P34" s="15"/>
      <c r="Q34" s="15"/>
      <c r="R34" s="15"/>
      <c r="S34" s="15"/>
      <c r="AF34" s="182"/>
      <c r="AJ34" s="182"/>
      <c r="AT34" t="s">
        <v>430</v>
      </c>
      <c r="AV34">
        <v>2021</v>
      </c>
      <c r="BD34" s="15">
        <f t="shared" si="34"/>
        <v>0</v>
      </c>
      <c r="BG34" s="15">
        <f t="shared" ref="BG34:BG87" si="118">BD34</f>
        <v>0</v>
      </c>
      <c r="BJ34" s="15">
        <f t="shared" ref="BJ34:BJ87" si="119">BG34+BI34</f>
        <v>0</v>
      </c>
      <c r="BZ34" s="145"/>
    </row>
    <row r="35" spans="1:142" outlineLevel="1">
      <c r="A35" s="1" t="s">
        <v>49</v>
      </c>
      <c r="B35" s="1" t="s">
        <v>50</v>
      </c>
      <c r="C35" s="4" t="s">
        <v>51</v>
      </c>
      <c r="D35" s="8">
        <v>30000</v>
      </c>
      <c r="E35" s="28">
        <v>0</v>
      </c>
      <c r="F35" s="8">
        <v>30000</v>
      </c>
      <c r="G35" s="28">
        <v>0</v>
      </c>
      <c r="H35" s="9">
        <v>0</v>
      </c>
      <c r="I35" s="14">
        <v>29450</v>
      </c>
      <c r="J35" s="14"/>
      <c r="L35" s="118">
        <v>38000</v>
      </c>
      <c r="M35" s="17">
        <f>L35/F35-1</f>
        <v>0.26666666666666661</v>
      </c>
      <c r="N35" s="17">
        <f>L35/I35-1</f>
        <v>0.29032258064516125</v>
      </c>
      <c r="P35" s="15" t="s">
        <v>312</v>
      </c>
      <c r="Q35" s="15" t="s">
        <v>312</v>
      </c>
      <c r="R35" s="15" t="s">
        <v>312</v>
      </c>
      <c r="S35" s="15" t="s">
        <v>312</v>
      </c>
      <c r="U35" s="118">
        <v>38000</v>
      </c>
      <c r="X35" s="118">
        <v>38000</v>
      </c>
      <c r="Z35" s="118">
        <v>37020</v>
      </c>
      <c r="AB35" s="187">
        <f t="shared" ref="AB35" si="120">Z35-X35</f>
        <v>-980</v>
      </c>
      <c r="AC35" s="187"/>
      <c r="AD35" s="118">
        <v>37020</v>
      </c>
      <c r="AE35" s="187"/>
      <c r="AF35" s="182"/>
      <c r="AG35" s="187"/>
      <c r="AH35" s="118">
        <v>37020</v>
      </c>
      <c r="AI35" s="187"/>
      <c r="AJ35" s="182"/>
      <c r="AK35" t="s">
        <v>424</v>
      </c>
      <c r="AL35" s="15">
        <v>37020</v>
      </c>
      <c r="AN35" s="15">
        <v>56000</v>
      </c>
      <c r="AO35" s="17">
        <f t="shared" ref="AO35" si="121">AN35/L35-1</f>
        <v>0.47368421052631571</v>
      </c>
      <c r="AP35" s="17">
        <f t="shared" ref="AP35" si="122">AN35/AH35-1</f>
        <v>0.51269584008643987</v>
      </c>
      <c r="AQ35" s="17">
        <f t="shared" ref="AQ35" si="123">AN35/AL35-1</f>
        <v>0.51269584008643987</v>
      </c>
      <c r="AR35" t="s">
        <v>426</v>
      </c>
      <c r="AS35">
        <v>29450</v>
      </c>
      <c r="AT35" t="s">
        <v>427</v>
      </c>
      <c r="AV35" t="s">
        <v>433</v>
      </c>
      <c r="AW35">
        <v>39238</v>
      </c>
      <c r="AX35" t="s">
        <v>427</v>
      </c>
      <c r="BA35" s="15">
        <f t="shared" ref="BA35" si="124">AN35+AZ35</f>
        <v>56000</v>
      </c>
      <c r="BD35" s="15">
        <f t="shared" si="34"/>
        <v>56000</v>
      </c>
      <c r="BG35" s="15">
        <f t="shared" si="118"/>
        <v>56000</v>
      </c>
      <c r="BJ35" s="15">
        <f t="shared" si="119"/>
        <v>56000</v>
      </c>
      <c r="BL35" s="15">
        <v>48872</v>
      </c>
      <c r="BM35" s="235">
        <f t="shared" ref="BM35" si="125">BL35/BJ35</f>
        <v>0.87271428571428566</v>
      </c>
      <c r="BO35" s="15">
        <v>57800</v>
      </c>
      <c r="BP35" s="235">
        <f>BO35/BL35</f>
        <v>1.1826812899001473</v>
      </c>
      <c r="BS35" s="15">
        <f t="shared" ref="BS35" si="126">BO35+BR35</f>
        <v>57800</v>
      </c>
      <c r="BV35" s="15">
        <f t="shared" ref="BV35" si="127">BS35+BU35</f>
        <v>57800</v>
      </c>
      <c r="BY35" s="15">
        <f t="shared" ref="BY35" si="128">BV35+BX35</f>
        <v>57800</v>
      </c>
      <c r="BZ35" s="145"/>
      <c r="CB35" s="15">
        <f t="shared" ref="CB35" si="129">BY35+CA35</f>
        <v>57800</v>
      </c>
      <c r="CE35" s="15">
        <f t="shared" ref="CE35" si="130">CB35+CD35</f>
        <v>57800</v>
      </c>
      <c r="CH35" s="15">
        <f t="shared" ref="CH35" si="131">CE35+CG35</f>
        <v>57800</v>
      </c>
      <c r="CK35" s="15">
        <f t="shared" ref="CK35" si="132">CH35+CJ35</f>
        <v>57800</v>
      </c>
      <c r="CN35" s="15">
        <f t="shared" ref="CN35" si="133">CK35+CM35</f>
        <v>57800</v>
      </c>
      <c r="CP35" s="15">
        <v>50389</v>
      </c>
      <c r="CR35" s="15">
        <v>57800</v>
      </c>
      <c r="CS35" s="235">
        <f>CR35/CP35</f>
        <v>1.1470757506598663</v>
      </c>
      <c r="CV35" s="15">
        <f t="shared" ref="CV35" si="134">CR35+CU35</f>
        <v>57800</v>
      </c>
      <c r="CY35" s="15">
        <f>CV35+CX35</f>
        <v>57800</v>
      </c>
      <c r="DB35" s="15">
        <f>CY35+DA35</f>
        <v>57800</v>
      </c>
      <c r="DE35" s="15">
        <f>DB35+DD35</f>
        <v>57800</v>
      </c>
      <c r="DH35" s="15">
        <f>DE35+DG35</f>
        <v>57800</v>
      </c>
      <c r="DK35" s="15">
        <f>DH35+DJ35</f>
        <v>57800</v>
      </c>
      <c r="DN35" s="15">
        <f>DK35+DM35</f>
        <v>57800</v>
      </c>
      <c r="DQ35" s="15">
        <f>DN35+DP35</f>
        <v>57800</v>
      </c>
      <c r="DS35" s="15">
        <v>48839</v>
      </c>
      <c r="DU35" s="15">
        <v>58200</v>
      </c>
      <c r="DV35" s="235">
        <f t="shared" ref="DV35" si="135">DU35/DS35</f>
        <v>1.1916705911259444</v>
      </c>
      <c r="DX35" s="15">
        <f>DU35+DW35</f>
        <v>58200</v>
      </c>
      <c r="EA35" s="15">
        <f>DX35+DZ35</f>
        <v>58200</v>
      </c>
      <c r="ED35" s="15">
        <f>EA35+EC35</f>
        <v>58200</v>
      </c>
      <c r="EF35" s="227">
        <v>-377</v>
      </c>
      <c r="EG35" s="15">
        <f>ED35+EF35</f>
        <v>57823</v>
      </c>
      <c r="EI35" s="15">
        <v>57416</v>
      </c>
      <c r="EK35" s="15">
        <v>59200</v>
      </c>
      <c r="EL35" s="235">
        <f t="shared" ref="EL35" si="136">EK35/EI35</f>
        <v>1.0310714783335655</v>
      </c>
    </row>
    <row r="36" spans="1:142" outlineLevel="1">
      <c r="A36" s="1" t="s">
        <v>52</v>
      </c>
      <c r="B36" s="4" t="s">
        <v>48</v>
      </c>
      <c r="C36" s="4" t="s">
        <v>53</v>
      </c>
      <c r="D36" s="8">
        <v>30000</v>
      </c>
      <c r="E36" s="28">
        <v>0</v>
      </c>
      <c r="F36" s="8">
        <v>30000</v>
      </c>
      <c r="G36" s="28">
        <v>0</v>
      </c>
      <c r="H36" s="9">
        <v>0</v>
      </c>
      <c r="I36" s="14"/>
      <c r="J36" s="14"/>
      <c r="P36" s="15"/>
      <c r="Q36" s="15"/>
      <c r="R36" s="15"/>
      <c r="S36" s="15"/>
      <c r="X36" s="118"/>
      <c r="AF36" s="182"/>
      <c r="AJ36" s="182"/>
      <c r="AR36" t="s">
        <v>428</v>
      </c>
      <c r="AS36">
        <v>320</v>
      </c>
      <c r="AT36" t="s">
        <v>429</v>
      </c>
      <c r="AV36" t="s">
        <v>428</v>
      </c>
      <c r="AW36">
        <v>320</v>
      </c>
      <c r="AX36" t="s">
        <v>429</v>
      </c>
      <c r="BD36" s="15">
        <f t="shared" si="34"/>
        <v>0</v>
      </c>
      <c r="BG36" s="15">
        <f t="shared" si="118"/>
        <v>0</v>
      </c>
      <c r="BJ36" s="15">
        <f t="shared" si="119"/>
        <v>0</v>
      </c>
      <c r="BZ36" s="145"/>
    </row>
    <row r="37" spans="1:142" outlineLevel="1">
      <c r="A37" s="10" t="s">
        <v>0</v>
      </c>
      <c r="P37" s="15"/>
      <c r="Q37" s="15"/>
      <c r="R37" s="15"/>
      <c r="S37" s="15"/>
      <c r="X37" s="118"/>
      <c r="AF37" s="182"/>
      <c r="AJ37" s="182"/>
      <c r="AR37" t="s">
        <v>431</v>
      </c>
      <c r="AS37">
        <v>250</v>
      </c>
      <c r="AT37" t="s">
        <v>432</v>
      </c>
      <c r="AV37" t="s">
        <v>431</v>
      </c>
      <c r="AW37">
        <v>250</v>
      </c>
      <c r="AX37" t="s">
        <v>432</v>
      </c>
      <c r="BD37" s="15">
        <f t="shared" si="34"/>
        <v>0</v>
      </c>
      <c r="BG37" s="15">
        <f t="shared" si="118"/>
        <v>0</v>
      </c>
      <c r="BJ37" s="15">
        <f t="shared" si="119"/>
        <v>0</v>
      </c>
      <c r="BZ37" s="145"/>
    </row>
    <row r="38" spans="1:142" outlineLevel="1">
      <c r="A38" s="1" t="s">
        <v>54</v>
      </c>
      <c r="B38" s="1" t="s">
        <v>55</v>
      </c>
      <c r="C38" s="4" t="s">
        <v>56</v>
      </c>
      <c r="D38" s="8">
        <v>90000</v>
      </c>
      <c r="E38" s="28">
        <v>84.18</v>
      </c>
      <c r="F38" s="8">
        <v>90000</v>
      </c>
      <c r="G38" s="28">
        <v>84.18</v>
      </c>
      <c r="H38" s="9">
        <v>75759.61</v>
      </c>
      <c r="I38" s="14">
        <v>80092</v>
      </c>
      <c r="J38" s="14"/>
      <c r="L38" s="118">
        <v>90000</v>
      </c>
      <c r="M38" s="17">
        <f>L38/F38-1</f>
        <v>0</v>
      </c>
      <c r="N38" s="17">
        <f>L38/I38-1</f>
        <v>0.12370773610348107</v>
      </c>
      <c r="P38" s="15" t="s">
        <v>361</v>
      </c>
      <c r="Q38" s="15" t="s">
        <v>361</v>
      </c>
      <c r="R38" s="15" t="s">
        <v>361</v>
      </c>
      <c r="S38" s="15" t="s">
        <v>361</v>
      </c>
      <c r="U38" s="118">
        <v>78000</v>
      </c>
      <c r="X38" s="118">
        <v>78000</v>
      </c>
      <c r="Z38" s="118">
        <v>78000</v>
      </c>
      <c r="AB38" s="187">
        <f t="shared" ref="AB38" si="137">Z38-X38</f>
        <v>0</v>
      </c>
      <c r="AC38" s="187"/>
      <c r="AD38" s="118">
        <v>78000</v>
      </c>
      <c r="AE38" s="187"/>
      <c r="AF38" s="182"/>
      <c r="AG38" s="187"/>
      <c r="AH38" s="118">
        <v>78000</v>
      </c>
      <c r="AI38" s="187"/>
      <c r="AJ38" s="182"/>
      <c r="AL38" s="15">
        <v>77224.990000000005</v>
      </c>
      <c r="AN38" s="15">
        <v>32600</v>
      </c>
      <c r="AO38" s="17">
        <f t="shared" ref="AO38" si="138">AN38/L38-1</f>
        <v>-0.63777777777777778</v>
      </c>
      <c r="AP38" s="17">
        <f t="shared" ref="AP38" si="139">AN38/AH38-1</f>
        <v>-0.58205128205128198</v>
      </c>
      <c r="AQ38" s="17">
        <f t="shared" ref="AQ38" si="140">AN38/AL38-1</f>
        <v>-0.57785685695783195</v>
      </c>
      <c r="BA38" s="15">
        <f t="shared" ref="BA38" si="141">AN38+AZ38</f>
        <v>32600</v>
      </c>
      <c r="BD38" s="15">
        <f t="shared" si="34"/>
        <v>32600</v>
      </c>
      <c r="BG38" s="15">
        <f t="shared" si="118"/>
        <v>32600</v>
      </c>
      <c r="BI38" s="15">
        <v>48400</v>
      </c>
      <c r="BJ38" s="15">
        <f t="shared" si="119"/>
        <v>81000</v>
      </c>
      <c r="BL38" s="15">
        <v>80909.61</v>
      </c>
      <c r="BM38" s="235">
        <f t="shared" ref="BM38" si="142">BL38/BJ38</f>
        <v>0.99888407407407409</v>
      </c>
      <c r="BO38" s="15">
        <v>81000</v>
      </c>
      <c r="BP38" s="235">
        <f>BO38/BL38</f>
        <v>1.0011171726078028</v>
      </c>
      <c r="BR38" s="15">
        <v>19000</v>
      </c>
      <c r="BS38" s="15">
        <f t="shared" ref="BS38" si="143">BO38+BR38</f>
        <v>100000</v>
      </c>
      <c r="BV38" s="15">
        <f t="shared" ref="BV38" si="144">BS38+BU38</f>
        <v>100000</v>
      </c>
      <c r="BY38" s="15">
        <f t="shared" ref="BY38" si="145">BV38+BX38</f>
        <v>100000</v>
      </c>
      <c r="BZ38" s="145"/>
      <c r="CB38" s="15">
        <f t="shared" ref="CB38" si="146">BY38+CA38</f>
        <v>100000</v>
      </c>
      <c r="CE38" s="15">
        <f t="shared" ref="CE38" si="147">CB38+CD38</f>
        <v>100000</v>
      </c>
      <c r="CH38" s="15">
        <f t="shared" ref="CH38" si="148">CE38+CG38</f>
        <v>100000</v>
      </c>
      <c r="CK38" s="15">
        <f t="shared" ref="CK38" si="149">CH38+CJ38</f>
        <v>100000</v>
      </c>
      <c r="CN38" s="15">
        <f t="shared" ref="CN38" si="150">CK38+CM38</f>
        <v>100000</v>
      </c>
      <c r="CP38" s="15">
        <v>100626.74</v>
      </c>
      <c r="CR38" s="15">
        <v>101000</v>
      </c>
      <c r="CS38" s="235">
        <f>CR38/CP38</f>
        <v>1.0037093520072298</v>
      </c>
      <c r="CV38" s="15">
        <f t="shared" ref="CV38" si="151">CR38+CU38</f>
        <v>101000</v>
      </c>
      <c r="CY38" s="15">
        <f>CV38+CX38</f>
        <v>101000</v>
      </c>
      <c r="DB38" s="15">
        <f>CY38+DA38</f>
        <v>101000</v>
      </c>
      <c r="DD38" s="227">
        <v>9000</v>
      </c>
      <c r="DE38" s="15">
        <f>DB38+DD38</f>
        <v>110000</v>
      </c>
      <c r="DH38" s="15">
        <f>DE38+DG38</f>
        <v>110000</v>
      </c>
      <c r="DK38" s="15">
        <f>DH38+DJ38</f>
        <v>110000</v>
      </c>
      <c r="DN38" s="15">
        <f>DK38+DM38</f>
        <v>110000</v>
      </c>
      <c r="DQ38" s="15">
        <f>DN38+DP38</f>
        <v>110000</v>
      </c>
      <c r="DS38" s="15">
        <v>103865.26</v>
      </c>
      <c r="DU38" s="15">
        <v>35000</v>
      </c>
      <c r="DV38" s="235">
        <f t="shared" ref="DV38" si="152">DU38/DS38</f>
        <v>0.33697503862215339</v>
      </c>
      <c r="DX38" s="15">
        <f>DU38+DW38</f>
        <v>35000</v>
      </c>
      <c r="DZ38" s="227">
        <v>88000</v>
      </c>
      <c r="EA38" s="15">
        <f>DX38+DZ38</f>
        <v>123000</v>
      </c>
      <c r="ED38" s="15">
        <f>EA38+EC38</f>
        <v>123000</v>
      </c>
      <c r="EF38" s="227">
        <v>-53072</v>
      </c>
      <c r="EG38" s="15">
        <f>ED38+EF38</f>
        <v>69928</v>
      </c>
      <c r="EI38" s="15">
        <v>69966.2</v>
      </c>
      <c r="EK38" s="15">
        <v>73000</v>
      </c>
      <c r="EL38" s="235">
        <f t="shared" ref="EL38:EL39" si="153">EK38/EI38</f>
        <v>1.0433609371382182</v>
      </c>
    </row>
    <row r="39" spans="1:142" outlineLevel="1">
      <c r="A39" s="1" t="s">
        <v>54</v>
      </c>
      <c r="B39" s="1" t="s">
        <v>50</v>
      </c>
      <c r="C39" s="4" t="s">
        <v>51</v>
      </c>
      <c r="D39" s="8"/>
      <c r="E39" s="28"/>
      <c r="F39" s="8"/>
      <c r="G39" s="28"/>
      <c r="H39" s="9"/>
      <c r="I39" s="14"/>
      <c r="J39" s="14"/>
      <c r="M39" s="17"/>
      <c r="N39" s="17"/>
      <c r="P39" s="15"/>
      <c r="Q39" s="15"/>
      <c r="R39" s="15"/>
      <c r="S39" s="15"/>
      <c r="X39" s="118"/>
      <c r="AB39" s="187"/>
      <c r="AC39" s="187"/>
      <c r="AE39" s="187"/>
      <c r="AF39" s="182"/>
      <c r="AG39" s="187"/>
      <c r="AI39" s="187"/>
      <c r="AJ39" s="182"/>
      <c r="AO39" s="17"/>
      <c r="AP39" s="17"/>
      <c r="AQ39" s="17"/>
      <c r="BA39" s="15"/>
      <c r="BD39" s="15"/>
      <c r="BG39" s="15"/>
      <c r="BJ39" s="15"/>
      <c r="BM39" s="235"/>
      <c r="BP39" s="235"/>
      <c r="BS39" s="15"/>
      <c r="BV39" s="15"/>
      <c r="BY39" s="15"/>
      <c r="BZ39" s="145"/>
      <c r="CB39" s="15"/>
      <c r="CE39" s="15"/>
      <c r="CH39" s="15"/>
      <c r="CK39" s="15"/>
      <c r="CN39" s="15"/>
      <c r="CS39" s="235"/>
      <c r="CV39" s="15"/>
      <c r="CY39" s="15"/>
      <c r="DB39" s="15"/>
      <c r="DD39" s="227"/>
      <c r="DE39" s="15"/>
      <c r="DH39" s="15"/>
      <c r="DK39" s="15"/>
      <c r="DN39" s="15"/>
      <c r="DQ39" s="15"/>
      <c r="DU39" s="15">
        <v>76000</v>
      </c>
      <c r="DV39" s="235"/>
      <c r="DX39" s="15">
        <f>DU39+DW39</f>
        <v>76000</v>
      </c>
      <c r="EA39" s="15">
        <f>DX39+DZ39</f>
        <v>76000</v>
      </c>
      <c r="ED39" s="15">
        <f>EA39+EC39</f>
        <v>76000</v>
      </c>
      <c r="EF39" s="227">
        <v>6100</v>
      </c>
      <c r="EG39" s="15">
        <f>ED39+EF39</f>
        <v>82100</v>
      </c>
      <c r="EI39" s="15">
        <v>82062</v>
      </c>
      <c r="EK39" s="15">
        <v>91000</v>
      </c>
      <c r="EL39" s="235">
        <f t="shared" si="153"/>
        <v>1.108917647632278</v>
      </c>
    </row>
    <row r="40" spans="1:142" outlineLevel="1">
      <c r="A40" s="1" t="s">
        <v>54</v>
      </c>
      <c r="B40" s="4" t="s">
        <v>46</v>
      </c>
      <c r="C40" s="4" t="s">
        <v>57</v>
      </c>
      <c r="D40" s="8">
        <v>90000</v>
      </c>
      <c r="E40" s="28">
        <v>84.18</v>
      </c>
      <c r="F40" s="8">
        <v>90000</v>
      </c>
      <c r="G40" s="28">
        <v>84.18</v>
      </c>
      <c r="H40" s="9">
        <v>75759.61</v>
      </c>
      <c r="I40" s="14"/>
      <c r="J40" s="14"/>
      <c r="P40" s="15"/>
      <c r="Q40" s="15"/>
      <c r="R40" s="15"/>
      <c r="S40" s="15"/>
      <c r="X40" s="118"/>
      <c r="AF40" s="182"/>
      <c r="AJ40" s="182"/>
      <c r="BD40" s="15">
        <f t="shared" si="34"/>
        <v>0</v>
      </c>
      <c r="BG40" s="15">
        <f t="shared" si="118"/>
        <v>0</v>
      </c>
      <c r="BJ40" s="15">
        <f t="shared" si="119"/>
        <v>0</v>
      </c>
      <c r="BZ40" s="145"/>
    </row>
    <row r="41" spans="1:142" outlineLevel="1">
      <c r="A41" s="1" t="s">
        <v>58</v>
      </c>
      <c r="B41" s="4" t="s">
        <v>48</v>
      </c>
      <c r="C41" s="4" t="s">
        <v>59</v>
      </c>
      <c r="D41" s="8">
        <v>90000</v>
      </c>
      <c r="E41" s="28">
        <v>84.18</v>
      </c>
      <c r="F41" s="8">
        <v>90000</v>
      </c>
      <c r="G41" s="28">
        <v>84.18</v>
      </c>
      <c r="H41" s="9">
        <v>75759.61</v>
      </c>
      <c r="I41" s="14"/>
      <c r="J41" s="14"/>
      <c r="P41" s="15"/>
      <c r="Q41" s="15"/>
      <c r="R41" s="15"/>
      <c r="S41" s="15"/>
      <c r="X41" s="118"/>
      <c r="AF41" s="182"/>
      <c r="AJ41" s="182"/>
      <c r="BD41" s="15">
        <f t="shared" si="34"/>
        <v>0</v>
      </c>
      <c r="BG41" s="15">
        <f t="shared" si="118"/>
        <v>0</v>
      </c>
      <c r="BJ41" s="15">
        <f t="shared" si="119"/>
        <v>0</v>
      </c>
      <c r="BZ41" s="145"/>
    </row>
    <row r="42" spans="1:142" outlineLevel="1">
      <c r="A42" s="13"/>
      <c r="B42" s="10"/>
      <c r="C42" s="10"/>
      <c r="D42" s="14"/>
      <c r="E42" s="175"/>
      <c r="F42" s="14"/>
      <c r="G42" s="175"/>
      <c r="H42" s="14"/>
      <c r="I42" s="14"/>
      <c r="J42" s="14"/>
      <c r="P42" s="15"/>
      <c r="Q42" s="15"/>
      <c r="R42" s="15"/>
      <c r="S42" s="15"/>
      <c r="X42" s="118"/>
      <c r="AF42" s="182"/>
      <c r="AJ42" s="182"/>
      <c r="BD42" s="15"/>
      <c r="BG42" s="15"/>
      <c r="BJ42" s="15"/>
      <c r="BZ42" s="145"/>
    </row>
    <row r="43" spans="1:142" outlineLevel="1">
      <c r="A43" s="13" t="s">
        <v>666</v>
      </c>
      <c r="B43" s="10" t="s">
        <v>54</v>
      </c>
      <c r="C43" s="10" t="s">
        <v>72</v>
      </c>
      <c r="D43" s="14"/>
      <c r="E43" s="175"/>
      <c r="F43" s="14"/>
      <c r="G43" s="175"/>
      <c r="H43" s="14"/>
      <c r="I43" s="14"/>
      <c r="J43" s="14"/>
      <c r="P43" s="15"/>
      <c r="Q43" s="15"/>
      <c r="R43" s="15"/>
      <c r="S43" s="15"/>
      <c r="X43" s="118"/>
      <c r="AF43" s="182"/>
      <c r="AJ43" s="182"/>
      <c r="BD43" s="15"/>
      <c r="BG43" s="15"/>
      <c r="BJ43" s="15"/>
      <c r="BZ43" s="145"/>
      <c r="DZ43" s="227">
        <v>5000</v>
      </c>
      <c r="EA43" s="15">
        <f>DX43+DZ43</f>
        <v>5000</v>
      </c>
      <c r="ED43" s="15">
        <f>EA43+EC43</f>
        <v>5000</v>
      </c>
      <c r="EF43" s="227">
        <v>4500</v>
      </c>
      <c r="EG43" s="15">
        <f>ED43+EF43</f>
        <v>9500</v>
      </c>
      <c r="EI43" s="15">
        <v>9480</v>
      </c>
      <c r="EK43" s="15">
        <v>0</v>
      </c>
      <c r="EL43" s="235">
        <f t="shared" ref="EL43" si="154">EK43/EI43</f>
        <v>0</v>
      </c>
    </row>
    <row r="44" spans="1:142" outlineLevel="1">
      <c r="A44" s="13" t="s">
        <v>666</v>
      </c>
      <c r="B44" s="4" t="s">
        <v>48</v>
      </c>
      <c r="C44" s="10" t="s">
        <v>667</v>
      </c>
      <c r="D44" s="14"/>
      <c r="E44" s="175"/>
      <c r="F44" s="14"/>
      <c r="G44" s="175"/>
      <c r="H44" s="14"/>
      <c r="I44" s="14"/>
      <c r="J44" s="14"/>
      <c r="P44" s="15"/>
      <c r="Q44" s="15"/>
      <c r="R44" s="15"/>
      <c r="S44" s="15"/>
      <c r="X44" s="118"/>
      <c r="AF44" s="182"/>
      <c r="AJ44" s="182"/>
      <c r="BD44" s="15"/>
      <c r="BG44" s="15"/>
      <c r="BJ44" s="15"/>
      <c r="BZ44" s="145"/>
    </row>
    <row r="45" spans="1:142" outlineLevel="1">
      <c r="A45" s="13"/>
      <c r="B45" s="10"/>
      <c r="C45" s="10"/>
      <c r="D45" s="14"/>
      <c r="E45" s="175"/>
      <c r="F45" s="14"/>
      <c r="G45" s="175"/>
      <c r="H45" s="14"/>
      <c r="I45" s="14"/>
      <c r="J45" s="14"/>
      <c r="P45" s="15"/>
      <c r="Q45" s="15"/>
      <c r="R45" s="15"/>
      <c r="S45" s="15"/>
      <c r="X45" s="118"/>
      <c r="AF45" s="182"/>
      <c r="AJ45" s="182"/>
      <c r="BD45" s="15"/>
      <c r="BG45" s="15"/>
      <c r="BJ45" s="15"/>
      <c r="BZ45" s="145"/>
    </row>
    <row r="46" spans="1:142" outlineLevel="1">
      <c r="A46" s="13" t="s">
        <v>322</v>
      </c>
      <c r="B46" s="1" t="s">
        <v>67</v>
      </c>
      <c r="C46" s="4" t="s">
        <v>554</v>
      </c>
      <c r="D46" s="14"/>
      <c r="E46" s="175"/>
      <c r="F46" s="14"/>
      <c r="G46" s="175"/>
      <c r="H46" s="14"/>
      <c r="I46" s="14"/>
      <c r="J46" s="14"/>
      <c r="P46" s="15"/>
      <c r="Q46" s="15"/>
      <c r="R46" s="15"/>
      <c r="S46" s="15"/>
      <c r="X46" s="118"/>
      <c r="AF46" s="182"/>
      <c r="AJ46" s="182"/>
      <c r="BD46" s="15"/>
      <c r="BG46" s="15"/>
      <c r="BJ46" s="15"/>
      <c r="BZ46" s="145"/>
      <c r="DZ46" s="227">
        <v>46564.76</v>
      </c>
      <c r="EA46" s="15">
        <f>DX46+DZ46</f>
        <v>46564.76</v>
      </c>
      <c r="ED46" s="15">
        <f>EA46+EC46</f>
        <v>46564.76</v>
      </c>
      <c r="EG46" s="15">
        <f>ED46+EF46</f>
        <v>46564.76</v>
      </c>
      <c r="EI46" s="15">
        <v>46565</v>
      </c>
      <c r="EK46" s="15">
        <v>0</v>
      </c>
      <c r="EL46" s="235">
        <f t="shared" ref="EL46" si="155">EK46/EI46</f>
        <v>0</v>
      </c>
    </row>
    <row r="47" spans="1:142" outlineLevel="1">
      <c r="A47" s="13"/>
      <c r="B47" s="10"/>
      <c r="C47" s="10"/>
      <c r="D47" s="14"/>
      <c r="E47" s="175"/>
      <c r="F47" s="14"/>
      <c r="G47" s="175"/>
      <c r="H47" s="14"/>
      <c r="I47" s="14"/>
      <c r="J47" s="14"/>
      <c r="P47" s="15"/>
      <c r="Q47" s="15"/>
      <c r="R47" s="15"/>
      <c r="S47" s="15"/>
      <c r="X47" s="118"/>
      <c r="AF47" s="182"/>
      <c r="AJ47" s="182"/>
      <c r="BD47" s="15"/>
      <c r="BG47" s="15"/>
      <c r="BJ47" s="15"/>
      <c r="BZ47" s="145"/>
    </row>
    <row r="48" spans="1:142" outlineLevel="1">
      <c r="A48" s="13" t="s">
        <v>165</v>
      </c>
      <c r="B48" s="13" t="s">
        <v>77</v>
      </c>
      <c r="C48" s="10" t="s">
        <v>620</v>
      </c>
      <c r="D48" s="14"/>
      <c r="E48" s="175"/>
      <c r="F48" s="14"/>
      <c r="G48" s="175"/>
      <c r="H48" s="14"/>
      <c r="I48" s="14"/>
      <c r="J48" s="14"/>
      <c r="P48" s="15"/>
      <c r="Q48" s="15"/>
      <c r="R48" s="15"/>
      <c r="S48" s="15"/>
      <c r="X48" s="118"/>
      <c r="AF48" s="182"/>
      <c r="AJ48" s="182"/>
      <c r="BD48" s="15"/>
      <c r="BG48" s="15"/>
      <c r="BJ48" s="15"/>
      <c r="BZ48" s="145"/>
      <c r="DD48" s="227">
        <v>800</v>
      </c>
      <c r="DE48" s="15">
        <f>DB48+DD48</f>
        <v>800</v>
      </c>
      <c r="DH48" s="15">
        <f>DE48+DG48</f>
        <v>800</v>
      </c>
      <c r="DK48" s="15">
        <f>DH48+DJ48</f>
        <v>800</v>
      </c>
      <c r="DN48" s="15">
        <f>DK48+DM48</f>
        <v>800</v>
      </c>
      <c r="DQ48" s="15">
        <f>DN48+DP48</f>
        <v>800</v>
      </c>
      <c r="DS48" s="15">
        <v>800</v>
      </c>
      <c r="DU48" s="15">
        <v>0</v>
      </c>
      <c r="DV48" s="235">
        <f t="shared" ref="DV48:DV49" si="156">DU48/DS48</f>
        <v>0</v>
      </c>
      <c r="DX48" s="15">
        <f>DU48+DW48</f>
        <v>0</v>
      </c>
      <c r="EA48" s="15">
        <f>DX48+DZ48</f>
        <v>0</v>
      </c>
      <c r="ED48" s="15">
        <f>EA48+EC48</f>
        <v>0</v>
      </c>
      <c r="EG48" s="15">
        <f>ED48+EF48</f>
        <v>0</v>
      </c>
    </row>
    <row r="49" spans="1:142" outlineLevel="1">
      <c r="A49" s="13" t="s">
        <v>165</v>
      </c>
      <c r="B49" s="13" t="s">
        <v>54</v>
      </c>
      <c r="C49" s="10" t="s">
        <v>72</v>
      </c>
      <c r="D49" s="14"/>
      <c r="E49" s="175"/>
      <c r="F49" s="14"/>
      <c r="G49" s="175"/>
      <c r="H49" s="14"/>
      <c r="I49" s="14"/>
      <c r="J49" s="14"/>
      <c r="P49" s="15"/>
      <c r="Q49" s="15"/>
      <c r="R49" s="15"/>
      <c r="S49" s="15"/>
      <c r="X49" s="118"/>
      <c r="AF49" s="182"/>
      <c r="AJ49" s="182"/>
      <c r="BD49" s="15"/>
      <c r="BG49" s="15"/>
      <c r="BJ49" s="15"/>
      <c r="BZ49" s="145"/>
      <c r="DD49" s="227"/>
      <c r="DE49" s="15"/>
      <c r="DG49" s="227">
        <v>125000</v>
      </c>
      <c r="DH49" s="15">
        <f>DE49+DG49</f>
        <v>125000</v>
      </c>
      <c r="DK49" s="15">
        <f>DH49+DJ49</f>
        <v>125000</v>
      </c>
      <c r="DN49" s="15">
        <f>DK49+DM49</f>
        <v>125000</v>
      </c>
      <c r="DQ49" s="15">
        <f>DN49+DP49</f>
        <v>125000</v>
      </c>
      <c r="DS49" s="15">
        <v>125000</v>
      </c>
      <c r="DU49" s="15">
        <v>0</v>
      </c>
      <c r="DV49" s="235">
        <f t="shared" si="156"/>
        <v>0</v>
      </c>
      <c r="DX49" s="15">
        <f>DU49+DW49</f>
        <v>0</v>
      </c>
      <c r="EA49" s="15">
        <f>DX49+DZ49</f>
        <v>0</v>
      </c>
      <c r="ED49" s="15">
        <f>EA49+EC49</f>
        <v>0</v>
      </c>
      <c r="EG49" s="15">
        <f>ED49+EF49</f>
        <v>0</v>
      </c>
    </row>
    <row r="50" spans="1:142" outlineLevel="1"/>
    <row r="51" spans="1:142" outlineLevel="1">
      <c r="A51" s="13" t="s">
        <v>167</v>
      </c>
      <c r="B51" s="369" t="s">
        <v>81</v>
      </c>
      <c r="C51" s="10" t="s">
        <v>634</v>
      </c>
      <c r="EI51" s="15">
        <v>5000</v>
      </c>
      <c r="EK51" s="15">
        <v>5000</v>
      </c>
      <c r="EL51" s="235">
        <f t="shared" ref="EL51:EL52" si="157">EK51/EI51</f>
        <v>1</v>
      </c>
    </row>
    <row r="52" spans="1:142" outlineLevel="1">
      <c r="A52" s="13" t="s">
        <v>167</v>
      </c>
      <c r="B52" s="1" t="s">
        <v>67</v>
      </c>
      <c r="C52" s="4" t="s">
        <v>554</v>
      </c>
      <c r="D52" s="14"/>
      <c r="E52" s="175"/>
      <c r="F52" s="14"/>
      <c r="G52" s="175"/>
      <c r="H52" s="14"/>
      <c r="I52" s="14"/>
      <c r="J52" s="14"/>
      <c r="P52" s="15"/>
      <c r="Q52" s="15"/>
      <c r="R52" s="15"/>
      <c r="S52" s="15"/>
      <c r="X52" s="118"/>
      <c r="AF52" s="182"/>
      <c r="AJ52" s="182"/>
      <c r="BD52" s="15"/>
      <c r="BG52" s="15"/>
      <c r="BJ52" s="15"/>
      <c r="BZ52" s="145"/>
      <c r="DD52" s="227"/>
      <c r="DE52" s="15"/>
      <c r="DG52" s="227"/>
      <c r="DH52" s="15"/>
      <c r="DK52" s="15"/>
      <c r="DN52" s="15"/>
      <c r="DQ52" s="15"/>
      <c r="DV52" s="235"/>
      <c r="DX52" s="15"/>
      <c r="DZ52" s="227">
        <v>49959.48</v>
      </c>
      <c r="EA52" s="15">
        <f>DX52+DZ52</f>
        <v>49959.48</v>
      </c>
      <c r="ED52" s="15">
        <f>EA52+EC52</f>
        <v>49959.48</v>
      </c>
      <c r="EG52" s="15">
        <f>ED52+EF52</f>
        <v>49959.48</v>
      </c>
      <c r="EI52" s="15">
        <v>49959</v>
      </c>
      <c r="EK52" s="15">
        <v>0</v>
      </c>
      <c r="EL52" s="235">
        <f t="shared" si="157"/>
        <v>0</v>
      </c>
    </row>
    <row r="53" spans="1:142" outlineLevel="1">
      <c r="A53" s="13"/>
      <c r="B53" s="13"/>
      <c r="C53" s="10"/>
      <c r="D53" s="14"/>
      <c r="E53" s="175"/>
      <c r="F53" s="14"/>
      <c r="G53" s="175"/>
      <c r="H53" s="14"/>
      <c r="I53" s="14"/>
      <c r="J53" s="14"/>
      <c r="P53" s="15"/>
      <c r="Q53" s="15"/>
      <c r="R53" s="15"/>
      <c r="S53" s="15"/>
      <c r="X53" s="118"/>
      <c r="AF53" s="182"/>
      <c r="AJ53" s="182"/>
      <c r="BD53" s="15"/>
      <c r="BG53" s="15"/>
      <c r="BJ53" s="15"/>
      <c r="BZ53" s="145"/>
      <c r="DD53" s="227"/>
      <c r="DE53" s="15"/>
      <c r="DG53" s="227"/>
      <c r="DH53" s="15"/>
      <c r="DK53" s="15"/>
      <c r="DN53" s="15"/>
      <c r="DQ53" s="15"/>
      <c r="DV53" s="235"/>
      <c r="DX53" s="15"/>
      <c r="DZ53" s="227"/>
      <c r="EA53" s="15"/>
      <c r="ED53" s="15"/>
      <c r="EG53" s="15"/>
      <c r="EL53" s="235"/>
    </row>
    <row r="54" spans="1:142" outlineLevel="1">
      <c r="A54" s="13" t="s">
        <v>495</v>
      </c>
      <c r="B54" s="13" t="s">
        <v>54</v>
      </c>
      <c r="C54" s="4" t="s">
        <v>72</v>
      </c>
      <c r="D54" s="14"/>
      <c r="E54" s="175"/>
      <c r="F54" s="14"/>
      <c r="G54" s="175"/>
      <c r="H54" s="14"/>
      <c r="I54" s="14"/>
      <c r="J54" s="14"/>
      <c r="P54" s="15"/>
      <c r="Q54" s="15"/>
      <c r="R54" s="15"/>
      <c r="S54" s="15"/>
      <c r="X54" s="118"/>
      <c r="AF54" s="182"/>
      <c r="AJ54" s="182"/>
      <c r="BD54" s="15"/>
      <c r="BG54" s="15"/>
      <c r="BJ54" s="15"/>
      <c r="BZ54" s="145"/>
      <c r="DD54" s="227"/>
      <c r="DE54" s="15"/>
      <c r="DG54" s="227"/>
      <c r="DH54" s="15"/>
      <c r="DK54" s="15"/>
      <c r="DN54" s="15"/>
      <c r="DQ54" s="15"/>
      <c r="DV54" s="235"/>
      <c r="DX54" s="15"/>
      <c r="DZ54" s="227"/>
      <c r="EA54" s="15"/>
      <c r="ED54" s="15"/>
      <c r="EG54" s="15"/>
      <c r="EK54" s="15">
        <f>Rozpis_Výdaje!FV141</f>
        <v>200000</v>
      </c>
      <c r="EL54" s="235"/>
    </row>
    <row r="55" spans="1:142" outlineLevel="1">
      <c r="A55" s="10" t="s">
        <v>0</v>
      </c>
      <c r="P55" s="15"/>
      <c r="Q55" s="15"/>
      <c r="R55" s="15"/>
      <c r="S55" s="15"/>
      <c r="X55" s="118"/>
      <c r="AF55" s="182"/>
      <c r="AJ55" s="182"/>
      <c r="BD55" s="15">
        <f t="shared" si="34"/>
        <v>0</v>
      </c>
      <c r="BG55" s="15">
        <f t="shared" si="118"/>
        <v>0</v>
      </c>
      <c r="BJ55" s="15">
        <f t="shared" si="119"/>
        <v>0</v>
      </c>
      <c r="BZ55" s="145"/>
    </row>
    <row r="56" spans="1:142" outlineLevel="1">
      <c r="A56" s="1" t="s">
        <v>60</v>
      </c>
      <c r="B56" s="1" t="s">
        <v>61</v>
      </c>
      <c r="C56" s="4" t="s">
        <v>62</v>
      </c>
      <c r="D56" s="8">
        <v>8000</v>
      </c>
      <c r="E56" s="28">
        <v>0</v>
      </c>
      <c r="F56" s="8">
        <v>8000</v>
      </c>
      <c r="G56" s="28">
        <v>0</v>
      </c>
      <c r="H56" s="9">
        <v>0</v>
      </c>
      <c r="I56" s="14">
        <v>0</v>
      </c>
      <c r="J56" s="14"/>
      <c r="L56" s="118">
        <v>0</v>
      </c>
      <c r="M56" s="17">
        <f>L56/F56-1</f>
        <v>-1</v>
      </c>
      <c r="N56" s="17" t="e">
        <f>L56/I56-1</f>
        <v>#DIV/0!</v>
      </c>
      <c r="P56" s="15" t="s">
        <v>294</v>
      </c>
      <c r="Q56" s="15" t="s">
        <v>294</v>
      </c>
      <c r="R56" s="15" t="s">
        <v>395</v>
      </c>
      <c r="S56" s="15" t="s">
        <v>395</v>
      </c>
      <c r="U56" s="118">
        <v>0</v>
      </c>
      <c r="X56" s="118">
        <v>0</v>
      </c>
      <c r="Z56" s="118">
        <v>0</v>
      </c>
      <c r="AB56" s="187">
        <f t="shared" ref="AB56" si="158">Z56-X56</f>
        <v>0</v>
      </c>
      <c r="AC56" s="187"/>
      <c r="AD56" s="118">
        <v>0</v>
      </c>
      <c r="AE56" s="187"/>
      <c r="AF56" s="182"/>
      <c r="AG56" s="187"/>
      <c r="AH56" s="118">
        <v>0</v>
      </c>
      <c r="AI56" s="187"/>
      <c r="AJ56" s="182"/>
      <c r="BD56" s="15">
        <f t="shared" si="34"/>
        <v>0</v>
      </c>
      <c r="BG56" s="15">
        <f t="shared" si="118"/>
        <v>0</v>
      </c>
      <c r="BI56" s="15">
        <v>132000</v>
      </c>
      <c r="BJ56" s="15">
        <f t="shared" si="119"/>
        <v>132000</v>
      </c>
      <c r="BL56" s="15">
        <v>133844.6</v>
      </c>
      <c r="BM56" s="235">
        <f t="shared" ref="BM56" si="159">BL56/BJ56</f>
        <v>1.0139742424242424</v>
      </c>
      <c r="BO56" s="15">
        <v>10000</v>
      </c>
      <c r="BP56" s="235">
        <f>BO56/BL56</f>
        <v>7.4713511041909791E-2</v>
      </c>
      <c r="BS56" s="15">
        <f t="shared" ref="BS56:BS57" si="160">BO56+BR56</f>
        <v>10000</v>
      </c>
      <c r="BV56" s="15">
        <f t="shared" ref="BV56:BV57" si="161">BS56+BU56</f>
        <v>10000</v>
      </c>
      <c r="BY56" s="15">
        <f t="shared" ref="BY56:BY57" si="162">BV56+BX56</f>
        <v>10000</v>
      </c>
      <c r="BZ56" s="145"/>
      <c r="CB56" s="15">
        <f t="shared" ref="CB56:CB57" si="163">BY56+CA56</f>
        <v>10000</v>
      </c>
      <c r="CE56" s="15">
        <f t="shared" ref="CE56:CE57" si="164">CB56+CD56</f>
        <v>10000</v>
      </c>
      <c r="CH56" s="15">
        <f t="shared" ref="CH56:CH57" si="165">CE56+CG56</f>
        <v>10000</v>
      </c>
      <c r="CK56" s="15">
        <f t="shared" ref="CK56:CK57" si="166">CH56+CJ56</f>
        <v>10000</v>
      </c>
      <c r="CN56" s="15">
        <f t="shared" ref="CN56:CN57" si="167">CK56+CM56</f>
        <v>10000</v>
      </c>
      <c r="CP56" s="15">
        <v>0</v>
      </c>
      <c r="CR56" s="15">
        <v>0</v>
      </c>
      <c r="CS56" s="235" t="e">
        <f>CR56/CP56</f>
        <v>#DIV/0!</v>
      </c>
      <c r="CV56" s="15">
        <f t="shared" ref="CV56:CV57" si="168">CR56+CU56</f>
        <v>0</v>
      </c>
      <c r="CY56" s="15">
        <f>CV56+CX56</f>
        <v>0</v>
      </c>
      <c r="DB56" s="15">
        <f>CY56+DA56</f>
        <v>0</v>
      </c>
      <c r="DE56" s="15">
        <f>DB56+DD56</f>
        <v>0</v>
      </c>
      <c r="DH56" s="15">
        <f>DE56+DG56</f>
        <v>0</v>
      </c>
      <c r="DK56" s="15">
        <f>DH56+DJ56</f>
        <v>0</v>
      </c>
      <c r="DN56" s="15">
        <f>DK56+DM56</f>
        <v>0</v>
      </c>
      <c r="DQ56" s="15">
        <f>DN56+DP56</f>
        <v>0</v>
      </c>
      <c r="DX56" s="15">
        <f>DU56+DW56</f>
        <v>0</v>
      </c>
      <c r="EA56" s="15">
        <f>DX56+DZ56</f>
        <v>0</v>
      </c>
      <c r="ED56" s="15">
        <f>EA56+EC56</f>
        <v>0</v>
      </c>
      <c r="EG56" s="15">
        <f>ED56+EF56</f>
        <v>0</v>
      </c>
    </row>
    <row r="57" spans="1:142" outlineLevel="1">
      <c r="A57" s="1" t="s">
        <v>60</v>
      </c>
      <c r="B57" s="1" t="s">
        <v>517</v>
      </c>
      <c r="C57" s="4" t="s">
        <v>518</v>
      </c>
      <c r="D57" s="8"/>
      <c r="E57" s="28"/>
      <c r="F57" s="8"/>
      <c r="G57" s="28"/>
      <c r="H57" s="9"/>
      <c r="I57" s="14"/>
      <c r="J57" s="14"/>
      <c r="M57" s="17"/>
      <c r="N57" s="17"/>
      <c r="P57" s="15"/>
      <c r="Q57" s="15"/>
      <c r="R57" s="15"/>
      <c r="S57" s="15"/>
      <c r="X57" s="118"/>
      <c r="AB57" s="187"/>
      <c r="AC57" s="187"/>
      <c r="AE57" s="187"/>
      <c r="AF57" s="182"/>
      <c r="AG57" s="187"/>
      <c r="AI57" s="187"/>
      <c r="AJ57" s="182"/>
      <c r="BD57" s="15"/>
      <c r="BG57" s="15"/>
      <c r="BJ57" s="15"/>
      <c r="BM57" s="235"/>
      <c r="BO57" s="15">
        <v>83200</v>
      </c>
      <c r="BP57" s="235" t="e">
        <f>BO57/BL57</f>
        <v>#DIV/0!</v>
      </c>
      <c r="BS57" s="15">
        <f t="shared" si="160"/>
        <v>83200</v>
      </c>
      <c r="BV57" s="15">
        <f t="shared" si="161"/>
        <v>83200</v>
      </c>
      <c r="BY57" s="15">
        <f t="shared" si="162"/>
        <v>83200</v>
      </c>
      <c r="BZ57" s="145"/>
      <c r="CB57" s="15">
        <f t="shared" si="163"/>
        <v>83200</v>
      </c>
      <c r="CE57" s="15">
        <f t="shared" si="164"/>
        <v>83200</v>
      </c>
      <c r="CH57" s="15">
        <f t="shared" si="165"/>
        <v>83200</v>
      </c>
      <c r="CK57" s="15">
        <f t="shared" si="166"/>
        <v>83200</v>
      </c>
      <c r="CN57" s="15">
        <f t="shared" si="167"/>
        <v>83200</v>
      </c>
      <c r="CP57" s="15">
        <v>83111</v>
      </c>
      <c r="CR57" s="15">
        <v>0</v>
      </c>
      <c r="CS57" s="235">
        <f>CR57/CP57</f>
        <v>0</v>
      </c>
      <c r="CV57" s="15">
        <f t="shared" si="168"/>
        <v>0</v>
      </c>
      <c r="CY57" s="15">
        <f>CV57+CX57</f>
        <v>0</v>
      </c>
      <c r="DB57" s="15">
        <f>CY57+DA57</f>
        <v>0</v>
      </c>
      <c r="DE57" s="15">
        <f>DB57+DD57</f>
        <v>0</v>
      </c>
      <c r="DH57" s="15">
        <f>DE57+DG57</f>
        <v>0</v>
      </c>
      <c r="DK57" s="15">
        <f>DH57+DJ57</f>
        <v>0</v>
      </c>
      <c r="DN57" s="15">
        <f>DK57+DM57</f>
        <v>0</v>
      </c>
      <c r="DQ57" s="15">
        <f>DN57+DP57</f>
        <v>0</v>
      </c>
      <c r="DX57" s="15">
        <f>DU57+DW57</f>
        <v>0</v>
      </c>
      <c r="EA57" s="15">
        <f>DX57+DZ57</f>
        <v>0</v>
      </c>
      <c r="ED57" s="15">
        <f>EA57+EC57</f>
        <v>0</v>
      </c>
      <c r="EG57" s="15">
        <f>ED57+EF57</f>
        <v>0</v>
      </c>
    </row>
    <row r="58" spans="1:142" outlineLevel="1">
      <c r="A58" s="1" t="s">
        <v>60</v>
      </c>
      <c r="B58" s="4" t="s">
        <v>46</v>
      </c>
      <c r="C58" s="4" t="s">
        <v>63</v>
      </c>
      <c r="D58" s="8">
        <v>8000</v>
      </c>
      <c r="E58" s="28">
        <v>0</v>
      </c>
      <c r="F58" s="8">
        <v>8000</v>
      </c>
      <c r="G58" s="28">
        <v>0</v>
      </c>
      <c r="H58" s="9">
        <v>0</v>
      </c>
      <c r="I58" s="14"/>
      <c r="J58" s="14"/>
      <c r="P58" s="15"/>
      <c r="Q58" s="15"/>
      <c r="R58" s="15"/>
      <c r="S58" s="15"/>
      <c r="X58" s="118"/>
      <c r="AF58" s="182"/>
      <c r="AJ58" s="182"/>
      <c r="BD58" s="15">
        <f t="shared" si="34"/>
        <v>0</v>
      </c>
      <c r="BG58" s="15">
        <f t="shared" si="118"/>
        <v>0</v>
      </c>
      <c r="BJ58" s="15">
        <f t="shared" si="119"/>
        <v>0</v>
      </c>
      <c r="BZ58" s="145"/>
    </row>
    <row r="59" spans="1:142" outlineLevel="1">
      <c r="A59" s="1" t="s">
        <v>64</v>
      </c>
      <c r="B59" s="4" t="s">
        <v>48</v>
      </c>
      <c r="C59" s="4" t="s">
        <v>65</v>
      </c>
      <c r="D59" s="8">
        <v>8000</v>
      </c>
      <c r="E59" s="28">
        <v>0</v>
      </c>
      <c r="F59" s="8">
        <v>8000</v>
      </c>
      <c r="G59" s="28">
        <v>0</v>
      </c>
      <c r="H59" s="9">
        <v>0</v>
      </c>
      <c r="I59" s="14"/>
      <c r="J59" s="14"/>
      <c r="P59" s="15"/>
      <c r="Q59" s="15"/>
      <c r="R59" s="15"/>
      <c r="S59" s="15"/>
      <c r="X59" s="118"/>
      <c r="AF59" s="182"/>
      <c r="AJ59" s="182"/>
      <c r="BD59" s="15">
        <f t="shared" si="34"/>
        <v>0</v>
      </c>
      <c r="BG59" s="15">
        <f t="shared" si="118"/>
        <v>0</v>
      </c>
      <c r="BJ59" s="15">
        <f t="shared" si="119"/>
        <v>0</v>
      </c>
      <c r="BZ59" s="145"/>
    </row>
    <row r="60" spans="1:142" outlineLevel="1">
      <c r="A60" s="10" t="s">
        <v>0</v>
      </c>
      <c r="P60" s="15"/>
      <c r="Q60" s="15"/>
      <c r="R60" s="15"/>
      <c r="S60" s="15"/>
      <c r="X60" s="118"/>
      <c r="AF60" s="182"/>
      <c r="AJ60" s="182"/>
      <c r="BD60" s="15">
        <f t="shared" si="34"/>
        <v>0</v>
      </c>
      <c r="BG60" s="15">
        <f t="shared" si="118"/>
        <v>0</v>
      </c>
      <c r="BJ60" s="15">
        <f t="shared" si="119"/>
        <v>0</v>
      </c>
      <c r="BZ60" s="145"/>
    </row>
    <row r="61" spans="1:142" outlineLevel="1">
      <c r="A61" s="1" t="s">
        <v>66</v>
      </c>
      <c r="B61" s="1" t="s">
        <v>67</v>
      </c>
      <c r="C61" s="4" t="s">
        <v>554</v>
      </c>
      <c r="D61" s="8">
        <v>35000</v>
      </c>
      <c r="E61" s="28">
        <v>76.42</v>
      </c>
      <c r="F61" s="8">
        <v>35000</v>
      </c>
      <c r="G61" s="28">
        <v>76.42</v>
      </c>
      <c r="H61" s="9">
        <v>26747</v>
      </c>
      <c r="I61" s="14">
        <f>H61/3*4</f>
        <v>35662.666666666664</v>
      </c>
      <c r="J61" s="14"/>
      <c r="L61" s="118">
        <v>36000</v>
      </c>
      <c r="M61" s="17">
        <f>L61/F61-1</f>
        <v>2.857142857142847E-2</v>
      </c>
      <c r="N61" s="17">
        <f>L61/I61-1</f>
        <v>9.4590047481961648E-3</v>
      </c>
      <c r="P61" s="15" t="s">
        <v>311</v>
      </c>
      <c r="Q61" s="15" t="s">
        <v>311</v>
      </c>
      <c r="R61" s="15" t="s">
        <v>311</v>
      </c>
      <c r="S61" s="15" t="s">
        <v>311</v>
      </c>
      <c r="U61" s="118">
        <v>47000</v>
      </c>
      <c r="X61" s="118">
        <v>47000</v>
      </c>
      <c r="Z61" s="118">
        <v>58000</v>
      </c>
      <c r="AB61" s="187">
        <f t="shared" ref="AB61" si="169">Z61-X61</f>
        <v>11000</v>
      </c>
      <c r="AC61" s="187"/>
      <c r="AD61" s="118">
        <v>58000</v>
      </c>
      <c r="AE61" s="187"/>
      <c r="AF61" s="182"/>
      <c r="AG61" s="187"/>
      <c r="AH61" s="118">
        <v>58000</v>
      </c>
      <c r="AI61" s="187"/>
      <c r="AJ61" s="182"/>
      <c r="AL61" s="15">
        <v>57242.42</v>
      </c>
      <c r="AN61" s="15">
        <v>65000</v>
      </c>
      <c r="AO61" s="17">
        <f t="shared" ref="AO61" si="170">AN61/L61-1</f>
        <v>0.80555555555555558</v>
      </c>
      <c r="AP61" s="17">
        <f t="shared" ref="AP61" si="171">AN61/AH61-1</f>
        <v>0.1206896551724137</v>
      </c>
      <c r="AQ61" s="17">
        <f t="shared" ref="AQ61" si="172">AN61/AL61-1</f>
        <v>0.13552152407253226</v>
      </c>
      <c r="BA61" s="15">
        <f t="shared" ref="BA61" si="173">AN61+AZ61</f>
        <v>65000</v>
      </c>
      <c r="BD61" s="15">
        <f t="shared" si="34"/>
        <v>65000</v>
      </c>
      <c r="BG61" s="15">
        <f t="shared" si="118"/>
        <v>65000</v>
      </c>
      <c r="BI61" s="15">
        <v>15000</v>
      </c>
      <c r="BJ61" s="15">
        <f t="shared" si="119"/>
        <v>80000</v>
      </c>
      <c r="BL61" s="15">
        <v>56969.120000000003</v>
      </c>
      <c r="BM61" s="235">
        <f t="shared" ref="BM61" si="174">BL61/BJ61</f>
        <v>0.71211400000000002</v>
      </c>
      <c r="BO61" s="15">
        <v>80000</v>
      </c>
      <c r="BP61" s="235">
        <f>BO61/BL61</f>
        <v>1.4042695411127992</v>
      </c>
      <c r="BR61" s="15">
        <v>8000</v>
      </c>
      <c r="BS61" s="15">
        <f t="shared" ref="BS61" si="175">BO61+BR61</f>
        <v>88000</v>
      </c>
      <c r="BU61" s="227">
        <v>80000</v>
      </c>
      <c r="BV61" s="15">
        <f t="shared" ref="BV61" si="176">BS61+BU61</f>
        <v>168000</v>
      </c>
      <c r="BY61" s="15">
        <f t="shared" ref="BY61" si="177">BV61+BX61</f>
        <v>168000</v>
      </c>
      <c r="BZ61" s="145"/>
      <c r="CB61" s="15">
        <f t="shared" ref="CB61" si="178">BY61+CA61</f>
        <v>168000</v>
      </c>
      <c r="CE61" s="15">
        <f t="shared" ref="CE61" si="179">CB61+CD61</f>
        <v>168000</v>
      </c>
      <c r="CH61" s="15">
        <f t="shared" ref="CH61" si="180">CE61+CG61</f>
        <v>168000</v>
      </c>
      <c r="CJ61" s="227">
        <v>16000</v>
      </c>
      <c r="CK61" s="15">
        <f t="shared" ref="CK61" si="181">CH61+CJ61</f>
        <v>184000</v>
      </c>
      <c r="CN61" s="15">
        <f t="shared" ref="CN61" si="182">CK61+CM61</f>
        <v>184000</v>
      </c>
      <c r="CP61" s="15">
        <v>184351.1</v>
      </c>
      <c r="CR61" s="15">
        <v>185000</v>
      </c>
      <c r="CS61" s="235">
        <f>CR61/CP61</f>
        <v>1.0035199139034159</v>
      </c>
      <c r="CV61" s="15">
        <f t="shared" ref="CV61" si="183">CR61+CU61</f>
        <v>185000</v>
      </c>
      <c r="CY61" s="15">
        <f>CV61+CX61</f>
        <v>185000</v>
      </c>
      <c r="DB61" s="15">
        <f>CY61+DA61</f>
        <v>185000</v>
      </c>
      <c r="DE61" s="15">
        <f>DB61+DD61</f>
        <v>185000</v>
      </c>
      <c r="DH61" s="15">
        <f>DE61+DG61</f>
        <v>185000</v>
      </c>
      <c r="DJ61" s="227">
        <v>15000</v>
      </c>
      <c r="DK61" s="15">
        <f>DH61+DJ61</f>
        <v>200000</v>
      </c>
      <c r="DM61" s="227">
        <v>5000</v>
      </c>
      <c r="DN61" s="15">
        <f>DK61+DM61</f>
        <v>205000</v>
      </c>
      <c r="DQ61" s="15">
        <f>DN61+DP61</f>
        <v>205000</v>
      </c>
      <c r="DS61" s="15">
        <v>208724.43</v>
      </c>
      <c r="DU61" s="15">
        <v>210000</v>
      </c>
      <c r="DV61" s="235">
        <f t="shared" ref="DV61" si="184">DU61/DS61</f>
        <v>1.0061112635449525</v>
      </c>
      <c r="DX61" s="15">
        <f>DU61+DW61</f>
        <v>210000</v>
      </c>
      <c r="EA61" s="15">
        <f>DX61+DZ61</f>
        <v>210000</v>
      </c>
      <c r="ED61" s="15">
        <f>EA61+EC61</f>
        <v>210000</v>
      </c>
      <c r="EF61" s="227">
        <v>39439</v>
      </c>
      <c r="EG61" s="15">
        <f>ED61+EF61</f>
        <v>249439</v>
      </c>
      <c r="EI61" s="15">
        <v>249439</v>
      </c>
      <c r="EK61" s="15">
        <v>270000</v>
      </c>
      <c r="EL61" s="235">
        <f t="shared" ref="EL61" si="185">EK61/EI61</f>
        <v>1.0824289706100489</v>
      </c>
    </row>
    <row r="62" spans="1:142" outlineLevel="1">
      <c r="A62" s="1" t="s">
        <v>66</v>
      </c>
      <c r="B62" s="4" t="s">
        <v>46</v>
      </c>
      <c r="C62" s="4" t="s">
        <v>68</v>
      </c>
      <c r="D62" s="8">
        <v>35000</v>
      </c>
      <c r="E62" s="28">
        <v>76.42</v>
      </c>
      <c r="F62" s="8">
        <v>35000</v>
      </c>
      <c r="G62" s="28">
        <v>76.42</v>
      </c>
      <c r="H62" s="9">
        <v>26747</v>
      </c>
      <c r="I62" s="14"/>
      <c r="J62" s="14"/>
      <c r="P62" s="15"/>
      <c r="Q62" s="15"/>
      <c r="R62" s="15"/>
      <c r="S62" s="15"/>
      <c r="X62" s="118"/>
      <c r="AF62" s="182"/>
      <c r="AJ62" s="182"/>
      <c r="BD62" s="15">
        <f t="shared" si="34"/>
        <v>0</v>
      </c>
      <c r="BG62" s="15">
        <f t="shared" si="118"/>
        <v>0</v>
      </c>
      <c r="BJ62" s="15">
        <f t="shared" si="119"/>
        <v>0</v>
      </c>
      <c r="BZ62" s="145"/>
    </row>
    <row r="63" spans="1:142" outlineLevel="1">
      <c r="A63" s="1" t="s">
        <v>69</v>
      </c>
      <c r="B63" s="4" t="s">
        <v>48</v>
      </c>
      <c r="C63" s="4" t="s">
        <v>70</v>
      </c>
      <c r="D63" s="8">
        <v>35000</v>
      </c>
      <c r="E63" s="28">
        <v>76.42</v>
      </c>
      <c r="F63" s="8">
        <v>35000</v>
      </c>
      <c r="G63" s="28">
        <v>76.42</v>
      </c>
      <c r="H63" s="9">
        <v>26747</v>
      </c>
      <c r="I63" s="14"/>
      <c r="J63" s="14"/>
      <c r="P63" s="15"/>
      <c r="Q63" s="15"/>
      <c r="R63" s="15"/>
      <c r="S63" s="15"/>
      <c r="X63" s="118"/>
      <c r="AF63" s="182"/>
      <c r="AJ63" s="182"/>
      <c r="BD63" s="15">
        <f t="shared" si="34"/>
        <v>0</v>
      </c>
      <c r="BG63" s="15">
        <f t="shared" si="118"/>
        <v>0</v>
      </c>
      <c r="BJ63" s="15">
        <f t="shared" si="119"/>
        <v>0</v>
      </c>
      <c r="BZ63" s="145"/>
    </row>
    <row r="64" spans="1:142" outlineLevel="1">
      <c r="A64" s="10" t="s">
        <v>0</v>
      </c>
      <c r="P64" s="15"/>
      <c r="Q64" s="15"/>
      <c r="R64" s="15"/>
      <c r="S64" s="15"/>
      <c r="X64" s="118"/>
      <c r="AF64" s="182"/>
      <c r="AJ64" s="182"/>
      <c r="BD64" s="15">
        <f t="shared" si="34"/>
        <v>0</v>
      </c>
      <c r="BG64" s="15">
        <f t="shared" si="118"/>
        <v>0</v>
      </c>
      <c r="BJ64" s="15">
        <f t="shared" si="119"/>
        <v>0</v>
      </c>
      <c r="BZ64" s="145"/>
    </row>
    <row r="65" spans="1:142" outlineLevel="1">
      <c r="A65" s="1" t="s">
        <v>71</v>
      </c>
      <c r="B65" s="1" t="s">
        <v>54</v>
      </c>
      <c r="C65" s="4" t="s">
        <v>72</v>
      </c>
      <c r="D65" s="8">
        <v>1000</v>
      </c>
      <c r="E65" s="28">
        <v>0</v>
      </c>
      <c r="F65" s="8">
        <v>1000</v>
      </c>
      <c r="G65" s="28">
        <v>0</v>
      </c>
      <c r="H65" s="9">
        <v>0</v>
      </c>
      <c r="I65" s="14">
        <v>0</v>
      </c>
      <c r="J65" s="14"/>
      <c r="L65" s="118">
        <v>0</v>
      </c>
      <c r="P65" s="15"/>
      <c r="Q65" s="15"/>
      <c r="R65" s="15"/>
      <c r="S65" s="15"/>
      <c r="U65" s="118">
        <v>0</v>
      </c>
      <c r="X65" s="118">
        <v>0</v>
      </c>
      <c r="Z65" s="118">
        <v>100</v>
      </c>
      <c r="AB65" s="187">
        <f t="shared" ref="AB65" si="186">Z65-X65</f>
        <v>100</v>
      </c>
      <c r="AC65" s="187"/>
      <c r="AD65" s="118">
        <v>100</v>
      </c>
      <c r="AE65" s="187"/>
      <c r="AF65" s="182"/>
      <c r="AG65" s="187"/>
      <c r="AH65" s="118">
        <v>100</v>
      </c>
      <c r="AI65" s="187"/>
      <c r="AJ65" s="182"/>
      <c r="AL65" s="15">
        <v>60</v>
      </c>
      <c r="AN65" s="15">
        <v>0</v>
      </c>
      <c r="BD65" s="15">
        <f t="shared" si="34"/>
        <v>0</v>
      </c>
      <c r="BG65" s="15">
        <f t="shared" si="118"/>
        <v>0</v>
      </c>
      <c r="BJ65" s="15">
        <f t="shared" si="119"/>
        <v>0</v>
      </c>
      <c r="BZ65" s="145"/>
    </row>
    <row r="66" spans="1:142" outlineLevel="1">
      <c r="A66" s="1" t="s">
        <v>71</v>
      </c>
      <c r="B66" s="1" t="s">
        <v>445</v>
      </c>
      <c r="C66" s="4" t="s">
        <v>446</v>
      </c>
      <c r="D66" s="8"/>
      <c r="E66" s="28"/>
      <c r="F66" s="8"/>
      <c r="G66" s="28"/>
      <c r="H66" s="9"/>
      <c r="I66" s="14"/>
      <c r="J66" s="14"/>
      <c r="P66" s="15"/>
      <c r="Q66" s="15"/>
      <c r="R66" s="15"/>
      <c r="S66" s="15"/>
      <c r="X66" s="118"/>
      <c r="AB66" s="187"/>
      <c r="AC66" s="187"/>
      <c r="AE66" s="187"/>
      <c r="AF66" s="182"/>
      <c r="AG66" s="187"/>
      <c r="AI66" s="187"/>
      <c r="AJ66" s="182"/>
      <c r="BD66" s="15"/>
      <c r="BG66" s="15"/>
      <c r="BI66" s="15">
        <v>3000</v>
      </c>
      <c r="BJ66" s="15">
        <f t="shared" si="119"/>
        <v>3000</v>
      </c>
      <c r="BL66" s="15">
        <v>3000</v>
      </c>
      <c r="BM66" s="235">
        <f t="shared" ref="BM66" si="187">BL66/BJ66</f>
        <v>1</v>
      </c>
      <c r="BO66" s="15">
        <v>150000</v>
      </c>
      <c r="BP66" s="235">
        <f>BO66/BL66</f>
        <v>50</v>
      </c>
      <c r="BS66" s="15">
        <f t="shared" ref="BS66" si="188">BO66+BR66</f>
        <v>150000</v>
      </c>
      <c r="BV66" s="15">
        <f t="shared" ref="BV66" si="189">BS66+BU66</f>
        <v>150000</v>
      </c>
      <c r="BY66" s="15">
        <f t="shared" ref="BY66" si="190">BV66+BX66</f>
        <v>150000</v>
      </c>
      <c r="BZ66" s="145"/>
      <c r="CB66" s="15">
        <f t="shared" ref="CB66" si="191">BY66+CA66</f>
        <v>150000</v>
      </c>
      <c r="CE66" s="15">
        <f t="shared" ref="CE66" si="192">CB66+CD66</f>
        <v>150000</v>
      </c>
      <c r="CH66" s="15">
        <f t="shared" ref="CH66" si="193">CE66+CG66</f>
        <v>150000</v>
      </c>
      <c r="CK66" s="15">
        <f t="shared" ref="CK66" si="194">CH66+CJ66</f>
        <v>150000</v>
      </c>
      <c r="CN66" s="15">
        <f t="shared" ref="CN66" si="195">CK66+CM66</f>
        <v>150000</v>
      </c>
      <c r="CP66" s="15">
        <v>0</v>
      </c>
      <c r="CR66" s="15">
        <v>150000</v>
      </c>
      <c r="CS66" s="235" t="e">
        <f>CR66/CP66</f>
        <v>#DIV/0!</v>
      </c>
      <c r="CU66" s="227">
        <v>-150000</v>
      </c>
      <c r="CV66" s="15">
        <f t="shared" ref="CV66:CV68" si="196">CR66+CU66</f>
        <v>0</v>
      </c>
      <c r="CY66" s="15">
        <f>CV66+CX66</f>
        <v>0</v>
      </c>
      <c r="DB66" s="15">
        <f>CY66+DA66</f>
        <v>0</v>
      </c>
      <c r="DE66" s="15">
        <f>DB66+DD66</f>
        <v>0</v>
      </c>
      <c r="DH66" s="15">
        <f>DE66+DG66</f>
        <v>0</v>
      </c>
      <c r="DK66" s="15">
        <f>DH66+DJ66</f>
        <v>0</v>
      </c>
      <c r="DN66" s="15">
        <f>DK66+DM66</f>
        <v>0</v>
      </c>
      <c r="DQ66" s="15">
        <f>DN66+DP66</f>
        <v>0</v>
      </c>
      <c r="DS66" s="15">
        <v>0</v>
      </c>
      <c r="DU66" s="15">
        <v>5000</v>
      </c>
      <c r="DV66" s="235" t="e">
        <f t="shared" ref="DV66:DV68" si="197">DU66/DS66</f>
        <v>#DIV/0!</v>
      </c>
      <c r="DX66" s="15">
        <f>DU66+DW66</f>
        <v>5000</v>
      </c>
      <c r="EA66" s="15">
        <f>DX66+DZ66</f>
        <v>5000</v>
      </c>
      <c r="ED66" s="15">
        <f>EA66+EC66</f>
        <v>5000</v>
      </c>
      <c r="EF66" s="227">
        <v>-5000</v>
      </c>
      <c r="EG66" s="15">
        <f>ED66+EF66</f>
        <v>0</v>
      </c>
      <c r="EK66" s="15">
        <v>3000</v>
      </c>
      <c r="EL66" s="235" t="e">
        <f t="shared" ref="EL66:EL68" si="198">EK66/EI66</f>
        <v>#DIV/0!</v>
      </c>
    </row>
    <row r="67" spans="1:142" outlineLevel="1">
      <c r="A67" s="1" t="s">
        <v>71</v>
      </c>
      <c r="B67" s="1" t="s">
        <v>67</v>
      </c>
      <c r="C67" s="4" t="s">
        <v>554</v>
      </c>
      <c r="D67" s="8"/>
      <c r="E67" s="28"/>
      <c r="F67" s="8"/>
      <c r="G67" s="28"/>
      <c r="H67" s="9"/>
      <c r="I67" s="14"/>
      <c r="J67" s="14"/>
      <c r="P67" s="15"/>
      <c r="Q67" s="15"/>
      <c r="R67" s="15"/>
      <c r="S67" s="15"/>
      <c r="X67" s="118"/>
      <c r="AB67" s="187"/>
      <c r="AC67" s="187"/>
      <c r="AE67" s="187"/>
      <c r="AF67" s="182"/>
      <c r="AG67" s="187"/>
      <c r="AI67" s="187"/>
      <c r="AJ67" s="182"/>
      <c r="BD67" s="15"/>
      <c r="BG67" s="15"/>
      <c r="BJ67" s="15"/>
      <c r="BM67" s="235"/>
      <c r="BP67" s="235"/>
      <c r="BS67" s="15"/>
      <c r="BV67" s="15"/>
      <c r="BY67" s="15"/>
      <c r="BZ67" s="145"/>
      <c r="CB67" s="15"/>
      <c r="CE67" s="15"/>
      <c r="CH67" s="15"/>
      <c r="CK67" s="15"/>
      <c r="CN67" s="15"/>
      <c r="CS67" s="235"/>
      <c r="CU67" s="227"/>
      <c r="CV67" s="15"/>
      <c r="CY67" s="15"/>
      <c r="DB67" s="15"/>
      <c r="DD67" s="227">
        <v>1700</v>
      </c>
      <c r="DE67" s="15">
        <f>DB67+DD67</f>
        <v>1700</v>
      </c>
      <c r="DH67" s="15">
        <f>DE67+DG67</f>
        <v>1700</v>
      </c>
      <c r="DK67" s="15">
        <f>DH67+DJ67</f>
        <v>1700</v>
      </c>
      <c r="DN67" s="15">
        <f>DK67+DM67</f>
        <v>1700</v>
      </c>
      <c r="DQ67" s="15">
        <f>DN67+DP67</f>
        <v>1700</v>
      </c>
      <c r="DS67" s="15">
        <v>1622.54</v>
      </c>
      <c r="DU67" s="15">
        <v>0</v>
      </c>
      <c r="DV67" s="235">
        <f t="shared" si="197"/>
        <v>0</v>
      </c>
      <c r="DX67" s="15">
        <f>DU67+DW67</f>
        <v>0</v>
      </c>
      <c r="EA67" s="15">
        <f>DX67+DZ67</f>
        <v>0</v>
      </c>
      <c r="ED67" s="15">
        <f>EA67+EC67</f>
        <v>0</v>
      </c>
      <c r="EG67" s="15">
        <f>ED67+EF67</f>
        <v>0</v>
      </c>
      <c r="EL67" s="235" t="e">
        <f t="shared" si="198"/>
        <v>#DIV/0!</v>
      </c>
    </row>
    <row r="68" spans="1:142" outlineLevel="1">
      <c r="A68" s="1" t="s">
        <v>71</v>
      </c>
      <c r="B68" s="1" t="s">
        <v>137</v>
      </c>
      <c r="C68" s="4" t="s">
        <v>600</v>
      </c>
      <c r="D68" s="8"/>
      <c r="E68" s="28"/>
      <c r="F68" s="8"/>
      <c r="G68" s="28"/>
      <c r="H68" s="9"/>
      <c r="I68" s="14"/>
      <c r="J68" s="14"/>
      <c r="P68" s="15"/>
      <c r="Q68" s="15"/>
      <c r="R68" s="15"/>
      <c r="S68" s="15"/>
      <c r="X68" s="118"/>
      <c r="AB68" s="187"/>
      <c r="AC68" s="187"/>
      <c r="AE68" s="187"/>
      <c r="AF68" s="182"/>
      <c r="AG68" s="187"/>
      <c r="AI68" s="187"/>
      <c r="AJ68" s="182"/>
      <c r="BD68" s="15"/>
      <c r="BG68" s="15"/>
      <c r="BJ68" s="15"/>
      <c r="BM68" s="235"/>
      <c r="BP68" s="235"/>
      <c r="BS68" s="15"/>
      <c r="BV68" s="15"/>
      <c r="BY68" s="15"/>
      <c r="BZ68" s="145"/>
      <c r="CB68" s="15"/>
      <c r="CE68" s="15"/>
      <c r="CH68" s="15"/>
      <c r="CK68" s="15"/>
      <c r="CN68" s="15"/>
      <c r="CS68" s="235"/>
      <c r="CU68" s="227">
        <v>150000</v>
      </c>
      <c r="CV68" s="15">
        <f t="shared" si="196"/>
        <v>150000</v>
      </c>
      <c r="CY68" s="15">
        <f>CV68+CX68</f>
        <v>150000</v>
      </c>
      <c r="DB68" s="15">
        <f>CY68+DA68</f>
        <v>150000</v>
      </c>
      <c r="DD68" s="227">
        <v>11500</v>
      </c>
      <c r="DE68" s="15">
        <f>DB68+DD68</f>
        <v>161500</v>
      </c>
      <c r="DH68" s="15">
        <f>DE68+DG68</f>
        <v>161500</v>
      </c>
      <c r="DK68" s="15">
        <f>DH68+DJ68</f>
        <v>161500</v>
      </c>
      <c r="DN68" s="15">
        <f>DK68+DM68</f>
        <v>161500</v>
      </c>
      <c r="DQ68" s="15">
        <f>DN68+DP68</f>
        <v>161500</v>
      </c>
      <c r="DS68" s="15">
        <v>161500</v>
      </c>
      <c r="DU68" s="15">
        <v>0</v>
      </c>
      <c r="DV68" s="235">
        <f t="shared" si="197"/>
        <v>0</v>
      </c>
      <c r="DX68" s="15">
        <f>DU68+DW68</f>
        <v>0</v>
      </c>
      <c r="EA68" s="15">
        <f>DX68+DZ68</f>
        <v>0</v>
      </c>
      <c r="ED68" s="15">
        <f>EA68+EC68</f>
        <v>0</v>
      </c>
      <c r="EG68" s="15">
        <f>ED68+EF68</f>
        <v>0</v>
      </c>
      <c r="EL68" s="235" t="e">
        <f t="shared" si="198"/>
        <v>#DIV/0!</v>
      </c>
    </row>
    <row r="69" spans="1:142" outlineLevel="1">
      <c r="A69" s="1" t="s">
        <v>71</v>
      </c>
      <c r="B69" s="4" t="s">
        <v>46</v>
      </c>
      <c r="C69" s="4" t="s">
        <v>73</v>
      </c>
      <c r="D69" s="8">
        <v>1000</v>
      </c>
      <c r="E69" s="28">
        <v>0</v>
      </c>
      <c r="F69" s="8">
        <v>1000</v>
      </c>
      <c r="G69" s="28">
        <v>0</v>
      </c>
      <c r="H69" s="9">
        <v>0</v>
      </c>
      <c r="I69" s="14"/>
      <c r="J69" s="14"/>
      <c r="P69" s="15"/>
      <c r="Q69" s="15"/>
      <c r="R69" s="15"/>
      <c r="S69" s="15"/>
      <c r="X69" s="118"/>
      <c r="AF69" s="182"/>
      <c r="AJ69" s="182"/>
      <c r="BD69" s="15">
        <f t="shared" si="34"/>
        <v>0</v>
      </c>
      <c r="BG69" s="15">
        <f t="shared" si="118"/>
        <v>0</v>
      </c>
      <c r="BJ69" s="15">
        <f t="shared" si="119"/>
        <v>0</v>
      </c>
      <c r="BZ69" s="145"/>
    </row>
    <row r="70" spans="1:142" outlineLevel="1">
      <c r="A70" s="1" t="s">
        <v>74</v>
      </c>
      <c r="B70" s="4" t="s">
        <v>48</v>
      </c>
      <c r="C70" s="4" t="s">
        <v>75</v>
      </c>
      <c r="D70" s="8">
        <v>1000</v>
      </c>
      <c r="E70" s="28">
        <v>0</v>
      </c>
      <c r="F70" s="8">
        <v>1000</v>
      </c>
      <c r="G70" s="28">
        <v>0</v>
      </c>
      <c r="H70" s="9">
        <v>0</v>
      </c>
      <c r="I70" s="14"/>
      <c r="J70" s="14"/>
      <c r="P70" s="15"/>
      <c r="Q70" s="15"/>
      <c r="R70" s="15"/>
      <c r="S70" s="15"/>
      <c r="X70" s="118"/>
      <c r="AF70" s="182"/>
      <c r="AJ70" s="182"/>
      <c r="BD70" s="15">
        <f t="shared" si="34"/>
        <v>0</v>
      </c>
      <c r="BG70" s="15">
        <f t="shared" si="118"/>
        <v>0</v>
      </c>
      <c r="BJ70" s="15">
        <f t="shared" si="119"/>
        <v>0</v>
      </c>
      <c r="BZ70" s="145"/>
    </row>
    <row r="71" spans="1:142" outlineLevel="1">
      <c r="A71" s="13"/>
      <c r="B71" s="10"/>
      <c r="C71" s="10"/>
      <c r="D71" s="14"/>
      <c r="E71" s="175"/>
      <c r="F71" s="14"/>
      <c r="G71" s="175"/>
      <c r="H71" s="14"/>
      <c r="I71" s="14"/>
      <c r="J71" s="14"/>
      <c r="P71" s="15"/>
      <c r="Q71" s="15"/>
      <c r="R71" s="15"/>
      <c r="S71" s="15"/>
      <c r="X71" s="118"/>
      <c r="AF71" s="182"/>
      <c r="AJ71" s="182"/>
      <c r="BD71" s="15">
        <f t="shared" si="34"/>
        <v>0</v>
      </c>
      <c r="BG71" s="15">
        <f t="shared" si="118"/>
        <v>0</v>
      </c>
      <c r="BJ71" s="15">
        <f t="shared" si="119"/>
        <v>0</v>
      </c>
      <c r="BZ71" s="145"/>
    </row>
    <row r="72" spans="1:142" outlineLevel="1">
      <c r="A72" s="13" t="s">
        <v>201</v>
      </c>
      <c r="B72" s="1" t="s">
        <v>67</v>
      </c>
      <c r="C72" s="4" t="s">
        <v>554</v>
      </c>
      <c r="D72" s="14"/>
      <c r="E72" s="175"/>
      <c r="F72" s="14"/>
      <c r="G72" s="175"/>
      <c r="H72" s="14"/>
      <c r="I72" s="14"/>
      <c r="J72" s="14"/>
      <c r="P72" s="15"/>
      <c r="Q72" s="15"/>
      <c r="R72" s="15"/>
      <c r="S72" s="15"/>
      <c r="X72" s="118"/>
      <c r="AF72" s="182"/>
      <c r="AJ72" s="182"/>
      <c r="BD72" s="15"/>
      <c r="BG72" s="15"/>
      <c r="BJ72" s="15"/>
      <c r="BZ72" s="145"/>
      <c r="EI72" s="15">
        <v>9527</v>
      </c>
      <c r="EK72" s="15">
        <v>0</v>
      </c>
      <c r="EL72" s="235">
        <f t="shared" ref="EL72" si="199">EK72/EI72</f>
        <v>0</v>
      </c>
    </row>
    <row r="73" spans="1:142" outlineLevel="1">
      <c r="A73" s="13" t="s">
        <v>201</v>
      </c>
      <c r="B73" s="369" t="s">
        <v>81</v>
      </c>
      <c r="C73" s="10" t="s">
        <v>634</v>
      </c>
      <c r="D73" s="14"/>
      <c r="E73" s="175"/>
      <c r="F73" s="14"/>
      <c r="G73" s="175"/>
      <c r="H73" s="14"/>
      <c r="I73" s="14"/>
      <c r="J73" s="14"/>
      <c r="P73" s="15"/>
      <c r="Q73" s="15"/>
      <c r="R73" s="15"/>
      <c r="S73" s="15"/>
      <c r="X73" s="118"/>
      <c r="AF73" s="182"/>
      <c r="AJ73" s="182"/>
      <c r="BD73" s="15"/>
      <c r="BG73" s="15"/>
      <c r="BJ73" s="15"/>
      <c r="BZ73" s="145"/>
      <c r="DM73" s="227">
        <v>1000</v>
      </c>
      <c r="DN73" s="15">
        <f t="shared" ref="DN73:DN75" si="200">DK73+DM73</f>
        <v>1000</v>
      </c>
      <c r="DQ73" s="15">
        <f t="shared" ref="DQ73" si="201">DN73+DP73</f>
        <v>1000</v>
      </c>
      <c r="DS73" s="15">
        <v>726</v>
      </c>
      <c r="DU73" s="15">
        <v>2300</v>
      </c>
      <c r="DV73" s="235">
        <f t="shared" ref="DV73" si="202">DU73/DS73</f>
        <v>3.168044077134986</v>
      </c>
      <c r="DX73" s="15">
        <f t="shared" ref="DX73" si="203">DU73+DW73</f>
        <v>2300</v>
      </c>
      <c r="EA73" s="15">
        <f t="shared" ref="EA73" si="204">DX73+DZ73</f>
        <v>2300</v>
      </c>
      <c r="ED73" s="15">
        <f t="shared" ref="ED73" si="205">EA73+EC73</f>
        <v>2300</v>
      </c>
      <c r="EF73" s="227">
        <v>-2300</v>
      </c>
      <c r="EG73" s="15">
        <f t="shared" ref="EG73" si="206">ED73+EF73</f>
        <v>0</v>
      </c>
    </row>
    <row r="74" spans="1:142" outlineLevel="1">
      <c r="A74" s="13" t="s">
        <v>201</v>
      </c>
      <c r="B74" s="369" t="s">
        <v>54</v>
      </c>
      <c r="C74" s="10" t="s">
        <v>414</v>
      </c>
      <c r="D74" s="14"/>
      <c r="E74" s="175"/>
      <c r="F74" s="14"/>
      <c r="G74" s="175"/>
      <c r="H74" s="14"/>
      <c r="I74" s="14"/>
      <c r="J74" s="14"/>
      <c r="P74" s="15"/>
      <c r="Q74" s="15"/>
      <c r="R74" s="15"/>
      <c r="S74" s="15"/>
      <c r="X74" s="118"/>
      <c r="Z74" s="118">
        <v>2000</v>
      </c>
      <c r="AB74" s="187">
        <f t="shared" ref="AB74:AB76" si="207">Z74-X74</f>
        <v>2000</v>
      </c>
      <c r="AC74" s="187"/>
      <c r="AD74" s="118">
        <v>2000</v>
      </c>
      <c r="AE74" s="187"/>
      <c r="AF74" s="182">
        <f t="shared" ref="AF74" si="208">AD74-Z74</f>
        <v>0</v>
      </c>
      <c r="AG74" s="187"/>
      <c r="AH74" s="118">
        <v>2000</v>
      </c>
      <c r="AI74" s="187"/>
      <c r="AJ74" s="182">
        <f t="shared" ref="AJ74" si="209">AH74-AD74</f>
        <v>0</v>
      </c>
      <c r="AK74" t="s">
        <v>416</v>
      </c>
      <c r="AL74" s="15">
        <v>2000</v>
      </c>
      <c r="AN74" s="15">
        <v>0</v>
      </c>
      <c r="AO74" s="17"/>
      <c r="AP74" s="17">
        <f t="shared" ref="AP74:AP76" si="210">AN74/AH74</f>
        <v>0</v>
      </c>
      <c r="AQ74" s="17">
        <f t="shared" ref="AQ74:AQ76" si="211">AN74/AL74</f>
        <v>0</v>
      </c>
      <c r="BA74" s="15">
        <f t="shared" ref="BA74:BA76" si="212">AN74+AZ74</f>
        <v>0</v>
      </c>
      <c r="BD74" s="15">
        <f t="shared" si="34"/>
        <v>0</v>
      </c>
      <c r="BG74" s="15">
        <f t="shared" si="118"/>
        <v>0</v>
      </c>
      <c r="BJ74" s="15">
        <f t="shared" si="119"/>
        <v>0</v>
      </c>
      <c r="BZ74" s="145"/>
    </row>
    <row r="75" spans="1:142" outlineLevel="1">
      <c r="A75" s="13" t="s">
        <v>11</v>
      </c>
      <c r="B75" s="369" t="s">
        <v>610</v>
      </c>
      <c r="C75" s="10" t="s">
        <v>612</v>
      </c>
      <c r="D75" s="14"/>
      <c r="E75" s="175"/>
      <c r="F75" s="14"/>
      <c r="G75" s="175"/>
      <c r="H75" s="14"/>
      <c r="I75" s="14"/>
      <c r="J75" s="14"/>
      <c r="P75" s="15"/>
      <c r="Q75" s="15"/>
      <c r="R75" s="15"/>
      <c r="S75" s="15"/>
      <c r="X75" s="118"/>
      <c r="AB75" s="187"/>
      <c r="AC75" s="187"/>
      <c r="AE75" s="187"/>
      <c r="AF75" s="182"/>
      <c r="AG75" s="187"/>
      <c r="AI75" s="187"/>
      <c r="AJ75" s="182"/>
      <c r="AO75" s="17"/>
      <c r="AP75" s="17"/>
      <c r="AQ75" s="17"/>
      <c r="BA75" s="15"/>
      <c r="BD75" s="15"/>
      <c r="BG75" s="15"/>
      <c r="BJ75" s="15"/>
      <c r="BZ75" s="145"/>
      <c r="DA75" s="227">
        <v>249450</v>
      </c>
      <c r="DB75" s="15">
        <f t="shared" ref="DB75" si="213">CY75+DA75</f>
        <v>249450</v>
      </c>
      <c r="DE75" s="15">
        <f t="shared" ref="DE75" si="214">DB75+DD75</f>
        <v>249450</v>
      </c>
      <c r="DH75" s="15">
        <f t="shared" ref="DH75" si="215">DE75+DG75</f>
        <v>249450</v>
      </c>
      <c r="DK75" s="15">
        <f t="shared" ref="DK75" si="216">DH75+DJ75</f>
        <v>249450</v>
      </c>
      <c r="DN75" s="15">
        <f t="shared" si="200"/>
        <v>249450</v>
      </c>
      <c r="DQ75" s="15">
        <f t="shared" ref="DQ75" si="217">DN75+DP75</f>
        <v>249450</v>
      </c>
      <c r="DS75" s="15">
        <v>249450</v>
      </c>
      <c r="DU75" s="15">
        <v>0</v>
      </c>
      <c r="DV75" s="235">
        <f t="shared" ref="DV75" si="218">DU75/DS75</f>
        <v>0</v>
      </c>
      <c r="DX75" s="15">
        <f t="shared" ref="DX75" si="219">DU75+DW75</f>
        <v>0</v>
      </c>
      <c r="EA75" s="15">
        <f t="shared" ref="EA75" si="220">DX75+DZ75</f>
        <v>0</v>
      </c>
      <c r="ED75" s="15">
        <f t="shared" ref="ED75" si="221">EA75+EC75</f>
        <v>0</v>
      </c>
      <c r="EG75" s="15">
        <f t="shared" ref="EG75" si="222">ED75+EF75</f>
        <v>0</v>
      </c>
    </row>
    <row r="76" spans="1:142" outlineLevel="1">
      <c r="A76" s="13" t="s">
        <v>201</v>
      </c>
      <c r="B76" s="369" t="s">
        <v>137</v>
      </c>
      <c r="C76" s="10" t="s">
        <v>415</v>
      </c>
      <c r="D76" s="14"/>
      <c r="E76" s="175"/>
      <c r="F76" s="14"/>
      <c r="G76" s="175"/>
      <c r="H76" s="14"/>
      <c r="I76" s="14"/>
      <c r="J76" s="14"/>
      <c r="P76" s="15"/>
      <c r="Q76" s="15"/>
      <c r="R76" s="15"/>
      <c r="S76" s="15"/>
      <c r="X76" s="118"/>
      <c r="Z76" s="118">
        <v>26990</v>
      </c>
      <c r="AB76" s="187">
        <f t="shared" si="207"/>
        <v>26990</v>
      </c>
      <c r="AC76" s="187"/>
      <c r="AD76" s="118">
        <v>26990</v>
      </c>
      <c r="AE76" s="187"/>
      <c r="AF76" s="182"/>
      <c r="AG76" s="187"/>
      <c r="AH76" s="118">
        <v>26990</v>
      </c>
      <c r="AI76" s="187"/>
      <c r="AJ76" s="182"/>
      <c r="AK76" t="s">
        <v>417</v>
      </c>
      <c r="AL76" s="15">
        <v>26990</v>
      </c>
      <c r="AN76" s="15">
        <v>0</v>
      </c>
      <c r="AO76" s="17"/>
      <c r="AP76" s="17">
        <f t="shared" si="210"/>
        <v>0</v>
      </c>
      <c r="AQ76" s="17">
        <f t="shared" si="211"/>
        <v>0</v>
      </c>
      <c r="BA76" s="15">
        <f t="shared" si="212"/>
        <v>0</v>
      </c>
      <c r="BD76" s="15">
        <f t="shared" si="34"/>
        <v>0</v>
      </c>
      <c r="BG76" s="15">
        <f t="shared" si="118"/>
        <v>0</v>
      </c>
      <c r="BJ76" s="15">
        <f t="shared" si="119"/>
        <v>0</v>
      </c>
      <c r="BZ76" s="145"/>
    </row>
    <row r="77" spans="1:142" outlineLevel="1">
      <c r="A77" s="13" t="s">
        <v>201</v>
      </c>
      <c r="B77" s="10" t="s">
        <v>67</v>
      </c>
      <c r="C77" s="4" t="s">
        <v>554</v>
      </c>
      <c r="D77" s="14"/>
      <c r="E77" s="175"/>
      <c r="F77" s="14"/>
      <c r="G77" s="175"/>
      <c r="H77" s="14"/>
      <c r="I77" s="14"/>
      <c r="J77" s="14"/>
      <c r="P77" s="15"/>
      <c r="Q77" s="15"/>
      <c r="R77" s="15"/>
      <c r="S77" s="15"/>
      <c r="X77" s="118"/>
      <c r="AB77" s="187"/>
      <c r="AC77" s="187"/>
      <c r="AE77" s="187"/>
      <c r="AF77" s="182"/>
      <c r="AG77" s="187"/>
      <c r="AI77" s="187"/>
      <c r="AJ77" s="182"/>
      <c r="AO77" s="17"/>
      <c r="AP77" s="17"/>
      <c r="AQ77" s="17"/>
      <c r="BA77" s="15"/>
      <c r="BD77" s="15"/>
      <c r="BG77" s="15"/>
      <c r="BJ77" s="15"/>
      <c r="BZ77" s="145"/>
      <c r="DZ77" s="227">
        <v>9527</v>
      </c>
      <c r="EA77" s="15">
        <f t="shared" ref="EA77:EA87" si="223">DX77+DZ77</f>
        <v>9527</v>
      </c>
      <c r="ED77" s="15">
        <f t="shared" ref="ED77" si="224">EA77+EC77</f>
        <v>9527</v>
      </c>
      <c r="EG77" s="15">
        <f t="shared" ref="EG77" si="225">ED77+EF77</f>
        <v>9527</v>
      </c>
      <c r="EK77" s="15">
        <v>0</v>
      </c>
      <c r="EL77" s="235" t="e">
        <f t="shared" ref="EL77" si="226">EK77/EI77</f>
        <v>#DIV/0!</v>
      </c>
    </row>
    <row r="78" spans="1:142" outlineLevel="1">
      <c r="A78" s="10" t="s">
        <v>0</v>
      </c>
      <c r="P78" s="15"/>
      <c r="Q78" s="15"/>
      <c r="R78" s="15"/>
      <c r="S78" s="15"/>
      <c r="X78" s="118"/>
      <c r="AF78" s="182"/>
      <c r="AJ78" s="182"/>
      <c r="BD78" s="15">
        <f t="shared" si="34"/>
        <v>0</v>
      </c>
      <c r="BG78" s="15">
        <f t="shared" si="118"/>
        <v>0</v>
      </c>
      <c r="BJ78" s="15">
        <f t="shared" si="119"/>
        <v>0</v>
      </c>
      <c r="BZ78" s="145"/>
    </row>
    <row r="79" spans="1:142" outlineLevel="1">
      <c r="A79" s="1" t="s">
        <v>76</v>
      </c>
      <c r="B79" s="1" t="s">
        <v>77</v>
      </c>
      <c r="C79" s="4" t="s">
        <v>78</v>
      </c>
      <c r="D79" s="8">
        <v>200</v>
      </c>
      <c r="E79" s="28">
        <v>720</v>
      </c>
      <c r="F79" s="8">
        <v>200</v>
      </c>
      <c r="G79" s="28">
        <v>720</v>
      </c>
      <c r="H79" s="9">
        <v>1440</v>
      </c>
      <c r="I79" s="14">
        <v>1440</v>
      </c>
      <c r="J79" s="14"/>
      <c r="L79" s="118">
        <v>1500</v>
      </c>
      <c r="M79" s="17">
        <f t="shared" ref="M79:M87" si="227">L79/F79-1</f>
        <v>6.5</v>
      </c>
      <c r="N79" s="17">
        <f t="shared" ref="N79:N87" si="228">L79/I79-1</f>
        <v>4.1666666666666741E-2</v>
      </c>
      <c r="P79" s="15" t="s">
        <v>310</v>
      </c>
      <c r="Q79" s="15" t="s">
        <v>310</v>
      </c>
      <c r="R79" s="15" t="s">
        <v>310</v>
      </c>
      <c r="S79" s="15" t="s">
        <v>310</v>
      </c>
      <c r="U79" s="118">
        <v>2000</v>
      </c>
      <c r="X79" s="118">
        <v>2000</v>
      </c>
      <c r="Z79" s="118">
        <v>3500</v>
      </c>
      <c r="AB79" s="187">
        <f t="shared" ref="AB79:AB87" si="229">Z79-X79</f>
        <v>1500</v>
      </c>
      <c r="AC79" s="187"/>
      <c r="AD79" s="118">
        <v>3500</v>
      </c>
      <c r="AE79" s="187"/>
      <c r="AF79" s="182"/>
      <c r="AG79" s="187"/>
      <c r="AH79" s="118">
        <v>3500</v>
      </c>
      <c r="AI79" s="187"/>
      <c r="AJ79" s="182"/>
      <c r="AL79" s="15">
        <v>3193</v>
      </c>
      <c r="AN79" s="15">
        <v>3000</v>
      </c>
      <c r="AO79" s="17">
        <f t="shared" ref="AO79:AO89" si="230">AN79/L79-1</f>
        <v>1</v>
      </c>
      <c r="AP79" s="17">
        <f t="shared" ref="AP79:AP89" si="231">AN79/AH79-1</f>
        <v>-0.1428571428571429</v>
      </c>
      <c r="AQ79" s="17">
        <f t="shared" ref="AQ79:AQ89" si="232">AN79/AL79-1</f>
        <v>-6.0444722831193287E-2</v>
      </c>
      <c r="BA79" s="15">
        <f t="shared" ref="BA79:BA87" si="233">AN79+AZ79</f>
        <v>3000</v>
      </c>
      <c r="BD79" s="15">
        <f t="shared" si="34"/>
        <v>3000</v>
      </c>
      <c r="BG79" s="15">
        <f t="shared" si="118"/>
        <v>3000</v>
      </c>
      <c r="BI79" s="15">
        <v>400</v>
      </c>
      <c r="BJ79" s="15">
        <f t="shared" si="119"/>
        <v>3400</v>
      </c>
      <c r="BL79" s="15">
        <v>4235</v>
      </c>
      <c r="BM79" s="235">
        <f t="shared" ref="BM79:BM87" si="234">BL79/BJ79</f>
        <v>1.2455882352941177</v>
      </c>
      <c r="BO79" s="15">
        <v>3000</v>
      </c>
      <c r="BP79" s="235">
        <f t="shared" ref="BP79:BP87" si="235">BO79/BL79</f>
        <v>0.70838252656434475</v>
      </c>
      <c r="BS79" s="15">
        <f t="shared" ref="BS79:BS87" si="236">BO79+BR79</f>
        <v>3000</v>
      </c>
      <c r="BV79" s="15">
        <f t="shared" ref="BV79:BV87" si="237">BS79+BU79</f>
        <v>3000</v>
      </c>
      <c r="BY79" s="15">
        <f t="shared" ref="BY79:BY87" si="238">BV79+BX79</f>
        <v>3000</v>
      </c>
      <c r="BZ79" s="145"/>
      <c r="CB79" s="15">
        <f t="shared" ref="CB79:CB87" si="239">BY79+CA79</f>
        <v>3000</v>
      </c>
      <c r="CE79" s="15">
        <f t="shared" ref="CE79:CE87" si="240">CB79+CD79</f>
        <v>3000</v>
      </c>
      <c r="CH79" s="15">
        <f t="shared" ref="CH79:CH87" si="241">CE79+CG79</f>
        <v>3000</v>
      </c>
      <c r="CK79" s="15">
        <f t="shared" ref="CK79:CK87" si="242">CH79+CJ79</f>
        <v>3000</v>
      </c>
      <c r="CN79" s="15">
        <f t="shared" ref="CN79:CN87" si="243">CK79+CM79</f>
        <v>3000</v>
      </c>
      <c r="CP79" s="15">
        <v>2178</v>
      </c>
      <c r="CR79" s="15">
        <v>2000</v>
      </c>
      <c r="CS79" s="235">
        <f t="shared" ref="CS79:CS86" si="244">CR79/CP79</f>
        <v>0.91827364554637281</v>
      </c>
      <c r="CV79" s="15">
        <f t="shared" ref="CV79:CV87" si="245">CR79+CU79</f>
        <v>2000</v>
      </c>
      <c r="CY79" s="15">
        <f t="shared" ref="CY79:CY87" si="246">CV79+CX79</f>
        <v>2000</v>
      </c>
      <c r="DB79" s="15">
        <f t="shared" ref="DB79:DB87" si="247">CY79+DA79</f>
        <v>2000</v>
      </c>
      <c r="DE79" s="15">
        <f t="shared" ref="DE79:DE87" si="248">DB79+DD79</f>
        <v>2000</v>
      </c>
      <c r="DH79" s="15">
        <f t="shared" ref="DH79:DH87" si="249">DE79+DG79</f>
        <v>2000</v>
      </c>
      <c r="DK79" s="15">
        <f t="shared" ref="DK79:DK87" si="250">DH79+DJ79</f>
        <v>2000</v>
      </c>
      <c r="DM79" s="227">
        <v>1000</v>
      </c>
      <c r="DN79" s="15">
        <f t="shared" ref="DN79:DN87" si="251">DK79+DM79</f>
        <v>3000</v>
      </c>
      <c r="DQ79" s="15">
        <f t="shared" ref="DQ79:DQ87" si="252">DN79+DP79</f>
        <v>3000</v>
      </c>
      <c r="DS79" s="15">
        <v>2860</v>
      </c>
      <c r="DU79" s="15">
        <v>3000</v>
      </c>
      <c r="DV79" s="235">
        <f t="shared" ref="DV79:DV87" si="253">DU79/DS79</f>
        <v>1.048951048951049</v>
      </c>
      <c r="DX79" s="15">
        <f t="shared" ref="DX79:DX87" si="254">DU79+DW79</f>
        <v>3000</v>
      </c>
      <c r="EA79" s="15">
        <f t="shared" si="223"/>
        <v>3000</v>
      </c>
      <c r="ED79" s="15">
        <f t="shared" ref="ED79:ED87" si="255">EA79+EC79</f>
        <v>3000</v>
      </c>
      <c r="EF79" s="227">
        <v>1100</v>
      </c>
      <c r="EG79" s="15">
        <f t="shared" ref="EG79:EG87" si="256">ED79+EF79</f>
        <v>4100</v>
      </c>
      <c r="EI79" s="15">
        <v>4735</v>
      </c>
      <c r="EK79" s="15">
        <v>4100</v>
      </c>
      <c r="EL79" s="235">
        <f t="shared" ref="EL79" si="257">EK79/EI79</f>
        <v>0.86589229144667368</v>
      </c>
    </row>
    <row r="80" spans="1:142" outlineLevel="1">
      <c r="A80" s="1" t="s">
        <v>76</v>
      </c>
      <c r="B80" s="1" t="s">
        <v>79</v>
      </c>
      <c r="C80" s="4" t="s">
        <v>80</v>
      </c>
      <c r="D80" s="8">
        <v>4200</v>
      </c>
      <c r="E80" s="28">
        <v>49.26</v>
      </c>
      <c r="F80" s="8">
        <v>4200</v>
      </c>
      <c r="G80" s="28">
        <v>49.26</v>
      </c>
      <c r="H80" s="9">
        <v>2069</v>
      </c>
      <c r="I80" s="14">
        <v>2800</v>
      </c>
      <c r="J80" s="14"/>
      <c r="L80" s="118">
        <v>3000</v>
      </c>
      <c r="M80" s="17">
        <f t="shared" si="227"/>
        <v>-0.2857142857142857</v>
      </c>
      <c r="N80" s="17">
        <f t="shared" si="228"/>
        <v>7.1428571428571397E-2</v>
      </c>
      <c r="P80" s="15"/>
      <c r="Q80" s="15"/>
      <c r="R80" s="15"/>
      <c r="S80" s="15"/>
      <c r="U80" s="118">
        <v>700</v>
      </c>
      <c r="X80" s="118">
        <v>700</v>
      </c>
      <c r="Z80" s="118">
        <v>700</v>
      </c>
      <c r="AB80" s="187">
        <f t="shared" si="229"/>
        <v>0</v>
      </c>
      <c r="AC80" s="187"/>
      <c r="AD80" s="118">
        <v>700</v>
      </c>
      <c r="AE80" s="187"/>
      <c r="AF80" s="182"/>
      <c r="AG80" s="187"/>
      <c r="AH80" s="118">
        <v>700</v>
      </c>
      <c r="AI80" s="187"/>
      <c r="AJ80" s="182"/>
      <c r="AL80" s="15">
        <v>700</v>
      </c>
      <c r="AN80" s="15">
        <v>500</v>
      </c>
      <c r="AO80" s="17">
        <f t="shared" si="230"/>
        <v>-0.83333333333333337</v>
      </c>
      <c r="AP80" s="17">
        <f t="shared" si="231"/>
        <v>-0.2857142857142857</v>
      </c>
      <c r="AQ80" s="17">
        <f t="shared" si="232"/>
        <v>-0.2857142857142857</v>
      </c>
      <c r="BA80" s="15">
        <f t="shared" si="233"/>
        <v>500</v>
      </c>
      <c r="BD80" s="15">
        <f t="shared" si="34"/>
        <v>500</v>
      </c>
      <c r="BG80" s="15">
        <f t="shared" si="118"/>
        <v>500</v>
      </c>
      <c r="BJ80" s="15">
        <f t="shared" si="119"/>
        <v>500</v>
      </c>
      <c r="BL80" s="15">
        <v>0</v>
      </c>
      <c r="BM80" s="235">
        <f t="shared" si="234"/>
        <v>0</v>
      </c>
      <c r="BO80" s="15">
        <v>0</v>
      </c>
      <c r="BP80" s="235" t="e">
        <f t="shared" si="235"/>
        <v>#DIV/0!</v>
      </c>
      <c r="BS80" s="15">
        <f t="shared" si="236"/>
        <v>0</v>
      </c>
      <c r="BV80" s="15">
        <f t="shared" si="237"/>
        <v>0</v>
      </c>
      <c r="BY80" s="15">
        <f t="shared" si="238"/>
        <v>0</v>
      </c>
      <c r="BZ80" s="145"/>
      <c r="CB80" s="15">
        <f t="shared" si="239"/>
        <v>0</v>
      </c>
      <c r="CE80" s="15">
        <f t="shared" si="240"/>
        <v>0</v>
      </c>
      <c r="CH80" s="15">
        <f t="shared" si="241"/>
        <v>0</v>
      </c>
      <c r="CK80" s="15">
        <f t="shared" si="242"/>
        <v>0</v>
      </c>
      <c r="CN80" s="15">
        <f t="shared" si="243"/>
        <v>0</v>
      </c>
      <c r="CP80" s="15">
        <v>0</v>
      </c>
      <c r="CS80" s="235" t="e">
        <f t="shared" si="244"/>
        <v>#DIV/0!</v>
      </c>
      <c r="CV80" s="15">
        <f t="shared" si="245"/>
        <v>0</v>
      </c>
      <c r="CY80" s="15">
        <f t="shared" si="246"/>
        <v>0</v>
      </c>
      <c r="DB80" s="15">
        <f t="shared" si="247"/>
        <v>0</v>
      </c>
      <c r="DE80" s="15">
        <f t="shared" si="248"/>
        <v>0</v>
      </c>
      <c r="DH80" s="15">
        <f t="shared" si="249"/>
        <v>0</v>
      </c>
      <c r="DK80" s="15">
        <f t="shared" si="250"/>
        <v>0</v>
      </c>
      <c r="DM80" s="227">
        <v>1000</v>
      </c>
      <c r="DN80" s="15">
        <f t="shared" si="251"/>
        <v>1000</v>
      </c>
      <c r="DQ80" s="15">
        <f t="shared" si="252"/>
        <v>1000</v>
      </c>
      <c r="DS80" s="15">
        <v>871</v>
      </c>
      <c r="DU80" s="15">
        <v>0</v>
      </c>
      <c r="DV80" s="235">
        <f t="shared" si="253"/>
        <v>0</v>
      </c>
      <c r="DX80" s="15">
        <f t="shared" si="254"/>
        <v>0</v>
      </c>
      <c r="EA80" s="15">
        <f t="shared" si="223"/>
        <v>0</v>
      </c>
      <c r="ED80" s="15">
        <f t="shared" si="255"/>
        <v>0</v>
      </c>
      <c r="EG80" s="15">
        <f t="shared" si="256"/>
        <v>0</v>
      </c>
    </row>
    <row r="81" spans="1:142" outlineLevel="1">
      <c r="A81" s="1" t="s">
        <v>76</v>
      </c>
      <c r="B81" s="1" t="s">
        <v>54</v>
      </c>
      <c r="C81" s="4" t="s">
        <v>72</v>
      </c>
      <c r="D81" s="8">
        <v>700</v>
      </c>
      <c r="E81" s="28">
        <v>199.43</v>
      </c>
      <c r="F81" s="8">
        <v>2200</v>
      </c>
      <c r="G81" s="28">
        <v>63.45</v>
      </c>
      <c r="H81" s="9">
        <v>1396</v>
      </c>
      <c r="I81" s="14">
        <v>1396</v>
      </c>
      <c r="J81" s="14"/>
      <c r="L81" s="118">
        <v>1000</v>
      </c>
      <c r="M81" s="17">
        <f t="shared" si="227"/>
        <v>-0.54545454545454541</v>
      </c>
      <c r="N81" s="17">
        <f t="shared" si="228"/>
        <v>-0.28366762177650429</v>
      </c>
      <c r="P81" s="15"/>
      <c r="Q81" s="15"/>
      <c r="R81" s="15"/>
      <c r="S81" s="15"/>
      <c r="U81" s="118">
        <v>7600</v>
      </c>
      <c r="X81" s="118">
        <v>7600</v>
      </c>
      <c r="Z81" s="118">
        <v>13900</v>
      </c>
      <c r="AB81" s="187">
        <f t="shared" si="229"/>
        <v>6300</v>
      </c>
      <c r="AC81" s="187"/>
      <c r="AD81" s="118">
        <v>13900</v>
      </c>
      <c r="AE81" s="187"/>
      <c r="AF81" s="182"/>
      <c r="AG81" s="187"/>
      <c r="AH81" s="118">
        <v>13900</v>
      </c>
      <c r="AI81" s="187"/>
      <c r="AJ81" s="182"/>
      <c r="AL81" s="15">
        <v>7600</v>
      </c>
      <c r="AN81" s="15">
        <v>8000</v>
      </c>
      <c r="AO81" s="17">
        <f t="shared" si="230"/>
        <v>7</v>
      </c>
      <c r="AP81" s="17">
        <f t="shared" si="231"/>
        <v>-0.42446043165467628</v>
      </c>
      <c r="AQ81" s="17">
        <f t="shared" si="232"/>
        <v>5.2631578947368363E-2</v>
      </c>
      <c r="BA81" s="15">
        <f t="shared" si="233"/>
        <v>8000</v>
      </c>
      <c r="BD81" s="15">
        <f t="shared" si="34"/>
        <v>8000</v>
      </c>
      <c r="BG81" s="15">
        <f t="shared" si="118"/>
        <v>8000</v>
      </c>
      <c r="BI81" s="15">
        <v>1500</v>
      </c>
      <c r="BJ81" s="15">
        <f t="shared" si="119"/>
        <v>9500</v>
      </c>
      <c r="BL81" s="15">
        <v>8752</v>
      </c>
      <c r="BM81" s="235">
        <f t="shared" si="234"/>
        <v>0.92126315789473689</v>
      </c>
      <c r="BO81" s="15">
        <v>9000</v>
      </c>
      <c r="BP81" s="235">
        <f t="shared" si="235"/>
        <v>1.0283363802559415</v>
      </c>
      <c r="BS81" s="15">
        <f t="shared" si="236"/>
        <v>9000</v>
      </c>
      <c r="BV81" s="15">
        <f t="shared" si="237"/>
        <v>9000</v>
      </c>
      <c r="BY81" s="15">
        <f t="shared" si="238"/>
        <v>9000</v>
      </c>
      <c r="BZ81" s="145"/>
      <c r="CB81" s="15">
        <f t="shared" si="239"/>
        <v>9000</v>
      </c>
      <c r="CE81" s="15">
        <f t="shared" si="240"/>
        <v>9000</v>
      </c>
      <c r="CH81" s="15">
        <f t="shared" si="241"/>
        <v>9000</v>
      </c>
      <c r="CJ81" s="227">
        <v>-5000</v>
      </c>
      <c r="CK81" s="15">
        <f t="shared" si="242"/>
        <v>4000</v>
      </c>
      <c r="CN81" s="15">
        <f t="shared" si="243"/>
        <v>4000</v>
      </c>
      <c r="CP81" s="15">
        <v>2000</v>
      </c>
      <c r="CR81" s="15">
        <v>2000</v>
      </c>
      <c r="CS81" s="235">
        <f t="shared" si="244"/>
        <v>1</v>
      </c>
      <c r="CV81" s="15">
        <f t="shared" si="245"/>
        <v>2000</v>
      </c>
      <c r="CX81" s="227">
        <v>13000</v>
      </c>
      <c r="CY81" s="15">
        <f t="shared" si="246"/>
        <v>15000</v>
      </c>
      <c r="DB81" s="15">
        <f t="shared" si="247"/>
        <v>15000</v>
      </c>
      <c r="DD81" s="227">
        <v>5000</v>
      </c>
      <c r="DE81" s="15">
        <f t="shared" si="248"/>
        <v>20000</v>
      </c>
      <c r="DH81" s="15">
        <f t="shared" si="249"/>
        <v>20000</v>
      </c>
      <c r="DK81" s="15">
        <f t="shared" si="250"/>
        <v>20000</v>
      </c>
      <c r="DN81" s="15">
        <f t="shared" si="251"/>
        <v>20000</v>
      </c>
      <c r="DQ81" s="15">
        <f t="shared" si="252"/>
        <v>20000</v>
      </c>
      <c r="DS81" s="15">
        <v>23880</v>
      </c>
      <c r="DU81" s="15">
        <v>20000</v>
      </c>
      <c r="DV81" s="235">
        <f t="shared" si="253"/>
        <v>0.83752093802345062</v>
      </c>
      <c r="DX81" s="15">
        <f t="shared" si="254"/>
        <v>20000</v>
      </c>
      <c r="EA81" s="15">
        <f t="shared" si="223"/>
        <v>20000</v>
      </c>
      <c r="ED81" s="15">
        <f t="shared" si="255"/>
        <v>20000</v>
      </c>
      <c r="EF81" s="227">
        <v>-17000</v>
      </c>
      <c r="EG81" s="15">
        <f t="shared" si="256"/>
        <v>3000</v>
      </c>
      <c r="EI81" s="15">
        <v>64456.33</v>
      </c>
      <c r="EK81" s="15">
        <v>0</v>
      </c>
      <c r="EL81" s="235">
        <f t="shared" ref="EL81:EL87" si="258">EK81/EI81</f>
        <v>0</v>
      </c>
    </row>
    <row r="82" spans="1:142" outlineLevel="1">
      <c r="A82" s="1" t="s">
        <v>76</v>
      </c>
      <c r="B82" s="1" t="s">
        <v>50</v>
      </c>
      <c r="C82" s="4" t="s">
        <v>51</v>
      </c>
      <c r="D82" s="8">
        <v>600</v>
      </c>
      <c r="E82" s="28">
        <v>2375</v>
      </c>
      <c r="F82" s="8">
        <v>15600</v>
      </c>
      <c r="G82" s="28">
        <v>91.35</v>
      </c>
      <c r="H82" s="9">
        <v>14250</v>
      </c>
      <c r="I82" s="14">
        <v>14250</v>
      </c>
      <c r="J82" s="14"/>
      <c r="L82" s="118">
        <f>3*7500</f>
        <v>22500</v>
      </c>
      <c r="M82" s="17">
        <f t="shared" si="227"/>
        <v>0.44230769230769229</v>
      </c>
      <c r="N82" s="17">
        <f t="shared" si="228"/>
        <v>0.57894736842105265</v>
      </c>
      <c r="P82" s="15" t="s">
        <v>313</v>
      </c>
      <c r="Q82" s="15" t="s">
        <v>313</v>
      </c>
      <c r="R82" s="15" t="s">
        <v>313</v>
      </c>
      <c r="S82" s="15" t="s">
        <v>313</v>
      </c>
      <c r="U82" s="118">
        <v>19000</v>
      </c>
      <c r="X82" s="118">
        <v>19000</v>
      </c>
      <c r="Z82" s="118">
        <v>18980</v>
      </c>
      <c r="AB82" s="187">
        <f t="shared" si="229"/>
        <v>-20</v>
      </c>
      <c r="AC82" s="187"/>
      <c r="AD82" s="118">
        <v>18980</v>
      </c>
      <c r="AE82" s="187"/>
      <c r="AF82" s="182"/>
      <c r="AG82" s="187"/>
      <c r="AH82" s="118">
        <v>18980</v>
      </c>
      <c r="AI82" s="187"/>
      <c r="AJ82" s="182"/>
      <c r="AK82" t="s">
        <v>313</v>
      </c>
      <c r="AL82" s="15">
        <v>17250</v>
      </c>
      <c r="AN82" s="15">
        <v>17300</v>
      </c>
      <c r="AO82" s="17">
        <f t="shared" si="230"/>
        <v>-0.23111111111111116</v>
      </c>
      <c r="AP82" s="17">
        <f t="shared" si="231"/>
        <v>-8.85142255005269E-2</v>
      </c>
      <c r="AQ82" s="17">
        <f t="shared" si="232"/>
        <v>2.8985507246377384E-3</v>
      </c>
      <c r="BA82" s="15">
        <f t="shared" si="233"/>
        <v>17300</v>
      </c>
      <c r="BD82" s="15">
        <f t="shared" si="34"/>
        <v>17300</v>
      </c>
      <c r="BG82" s="15">
        <f t="shared" si="118"/>
        <v>17300</v>
      </c>
      <c r="BJ82" s="15">
        <f t="shared" si="119"/>
        <v>17300</v>
      </c>
      <c r="BL82" s="15">
        <v>16000</v>
      </c>
      <c r="BM82" s="235">
        <f t="shared" si="234"/>
        <v>0.92485549132947975</v>
      </c>
      <c r="BO82" s="15">
        <v>15000</v>
      </c>
      <c r="BP82" s="235">
        <f t="shared" si="235"/>
        <v>0.9375</v>
      </c>
      <c r="BS82" s="15">
        <f t="shared" si="236"/>
        <v>15000</v>
      </c>
      <c r="BV82" s="15">
        <f t="shared" si="237"/>
        <v>15000</v>
      </c>
      <c r="BY82" s="15">
        <f t="shared" si="238"/>
        <v>15000</v>
      </c>
      <c r="BZ82" s="145"/>
      <c r="CB82" s="15">
        <f t="shared" si="239"/>
        <v>15000</v>
      </c>
      <c r="CE82" s="15">
        <f t="shared" si="240"/>
        <v>15000</v>
      </c>
      <c r="CH82" s="15">
        <f t="shared" si="241"/>
        <v>15000</v>
      </c>
      <c r="CJ82" s="227">
        <v>-15000</v>
      </c>
      <c r="CK82" s="15">
        <f t="shared" si="242"/>
        <v>0</v>
      </c>
      <c r="CN82" s="15">
        <f t="shared" si="243"/>
        <v>0</v>
      </c>
      <c r="CP82" s="15">
        <v>0</v>
      </c>
      <c r="CR82" s="15">
        <v>7000</v>
      </c>
      <c r="CS82" s="235" t="e">
        <f t="shared" si="244"/>
        <v>#DIV/0!</v>
      </c>
      <c r="CV82" s="15">
        <f t="shared" si="245"/>
        <v>7000</v>
      </c>
      <c r="CY82" s="15">
        <f t="shared" si="246"/>
        <v>7000</v>
      </c>
      <c r="DB82" s="15">
        <f t="shared" si="247"/>
        <v>7000</v>
      </c>
      <c r="DE82" s="15">
        <f t="shared" si="248"/>
        <v>7000</v>
      </c>
      <c r="DH82" s="15">
        <f t="shared" si="249"/>
        <v>7000</v>
      </c>
      <c r="DK82" s="15">
        <f t="shared" si="250"/>
        <v>7000</v>
      </c>
      <c r="DN82" s="15">
        <f t="shared" si="251"/>
        <v>7000</v>
      </c>
      <c r="DQ82" s="15">
        <f t="shared" si="252"/>
        <v>7000</v>
      </c>
      <c r="DS82" s="15">
        <v>0</v>
      </c>
      <c r="DU82" s="15">
        <v>100</v>
      </c>
      <c r="DV82" s="235" t="e">
        <f t="shared" si="253"/>
        <v>#DIV/0!</v>
      </c>
      <c r="DX82" s="15">
        <f t="shared" si="254"/>
        <v>100</v>
      </c>
      <c r="EA82" s="15">
        <f t="shared" si="223"/>
        <v>100</v>
      </c>
      <c r="ED82" s="15">
        <f t="shared" si="255"/>
        <v>100</v>
      </c>
      <c r="EG82" s="15">
        <f t="shared" si="256"/>
        <v>100</v>
      </c>
      <c r="EI82" s="15">
        <v>0</v>
      </c>
      <c r="EK82" s="15">
        <v>100</v>
      </c>
      <c r="EL82" s="235" t="e">
        <f t="shared" si="258"/>
        <v>#DIV/0!</v>
      </c>
    </row>
    <row r="83" spans="1:142" outlineLevel="1">
      <c r="A83" s="1" t="s">
        <v>76</v>
      </c>
      <c r="B83" s="1" t="s">
        <v>81</v>
      </c>
      <c r="C83" s="4" t="s">
        <v>82</v>
      </c>
      <c r="D83" s="8">
        <v>32000</v>
      </c>
      <c r="E83" s="28">
        <v>173.51</v>
      </c>
      <c r="F83" s="8">
        <v>32000</v>
      </c>
      <c r="G83" s="28">
        <v>173.51</v>
      </c>
      <c r="H83" s="9">
        <v>55523</v>
      </c>
      <c r="I83" s="14">
        <v>55523</v>
      </c>
      <c r="J83" s="14"/>
      <c r="L83" s="118">
        <v>49000</v>
      </c>
      <c r="M83" s="17">
        <f t="shared" si="227"/>
        <v>0.53125</v>
      </c>
      <c r="N83" s="17">
        <f t="shared" si="228"/>
        <v>-0.11748284494713901</v>
      </c>
      <c r="P83" s="15" t="s">
        <v>314</v>
      </c>
      <c r="Q83" s="15" t="s">
        <v>314</v>
      </c>
      <c r="R83" s="15" t="s">
        <v>314</v>
      </c>
      <c r="S83" s="15" t="s">
        <v>314</v>
      </c>
      <c r="U83" s="118">
        <v>38000</v>
      </c>
      <c r="X83" s="118">
        <v>38000</v>
      </c>
      <c r="Z83" s="118">
        <v>28000</v>
      </c>
      <c r="AB83" s="187">
        <f t="shared" si="229"/>
        <v>-10000</v>
      </c>
      <c r="AC83" s="187"/>
      <c r="AD83" s="118">
        <v>28000</v>
      </c>
      <c r="AE83" s="187"/>
      <c r="AF83" s="182"/>
      <c r="AG83" s="187"/>
      <c r="AH83" s="118">
        <v>28000</v>
      </c>
      <c r="AI83" s="187"/>
      <c r="AJ83" s="182"/>
      <c r="AK83" t="s">
        <v>425</v>
      </c>
      <c r="AL83" s="15">
        <v>16415</v>
      </c>
      <c r="AN83" s="196">
        <v>20000</v>
      </c>
      <c r="AO83" s="17">
        <f t="shared" si="230"/>
        <v>-0.59183673469387754</v>
      </c>
      <c r="AP83" s="17">
        <f t="shared" si="231"/>
        <v>-0.2857142857142857</v>
      </c>
      <c r="AQ83" s="17">
        <f t="shared" si="232"/>
        <v>0.21839780688394761</v>
      </c>
      <c r="BA83" s="15">
        <f t="shared" si="233"/>
        <v>20000</v>
      </c>
      <c r="BD83" s="15">
        <f t="shared" si="34"/>
        <v>20000</v>
      </c>
      <c r="BG83" s="15">
        <f t="shared" si="118"/>
        <v>20000</v>
      </c>
      <c r="BI83" s="15">
        <v>8000</v>
      </c>
      <c r="BJ83" s="15">
        <f t="shared" si="119"/>
        <v>28000</v>
      </c>
      <c r="BL83" s="15">
        <v>33799</v>
      </c>
      <c r="BM83" s="235">
        <f t="shared" si="234"/>
        <v>1.2071071428571429</v>
      </c>
      <c r="BO83" s="15">
        <v>35000</v>
      </c>
      <c r="BP83" s="235">
        <f t="shared" si="235"/>
        <v>1.035533595668511</v>
      </c>
      <c r="BS83" s="15">
        <f t="shared" si="236"/>
        <v>35000</v>
      </c>
      <c r="BV83" s="15">
        <f t="shared" si="237"/>
        <v>35000</v>
      </c>
      <c r="BY83" s="15">
        <f t="shared" si="238"/>
        <v>35000</v>
      </c>
      <c r="BZ83" s="145"/>
      <c r="CB83" s="15">
        <f t="shared" si="239"/>
        <v>35000</v>
      </c>
      <c r="CE83" s="15">
        <f t="shared" si="240"/>
        <v>35000</v>
      </c>
      <c r="CH83" s="15">
        <f t="shared" si="241"/>
        <v>35000</v>
      </c>
      <c r="CJ83" s="227">
        <v>-25000</v>
      </c>
      <c r="CK83" s="15">
        <f t="shared" si="242"/>
        <v>10000</v>
      </c>
      <c r="CN83" s="15">
        <f t="shared" si="243"/>
        <v>10000</v>
      </c>
      <c r="CP83" s="15">
        <v>11694</v>
      </c>
      <c r="CR83" s="15">
        <v>10000</v>
      </c>
      <c r="CS83" s="235">
        <f t="shared" si="244"/>
        <v>0.85513938772019837</v>
      </c>
      <c r="CV83" s="15">
        <f t="shared" si="245"/>
        <v>10000</v>
      </c>
      <c r="CY83" s="15">
        <f t="shared" si="246"/>
        <v>10000</v>
      </c>
      <c r="DB83" s="15">
        <f t="shared" si="247"/>
        <v>10000</v>
      </c>
      <c r="DE83" s="15">
        <f t="shared" si="248"/>
        <v>10000</v>
      </c>
      <c r="DH83" s="15">
        <f t="shared" si="249"/>
        <v>10000</v>
      </c>
      <c r="DK83" s="15">
        <f t="shared" si="250"/>
        <v>10000</v>
      </c>
      <c r="DN83" s="15">
        <f t="shared" si="251"/>
        <v>10000</v>
      </c>
      <c r="DQ83" s="15">
        <f t="shared" si="252"/>
        <v>10000</v>
      </c>
      <c r="DS83" s="15">
        <v>6573</v>
      </c>
      <c r="DU83" s="15">
        <v>5300</v>
      </c>
      <c r="DV83" s="235">
        <f t="shared" si="253"/>
        <v>0.80632892134489575</v>
      </c>
      <c r="DX83" s="15">
        <f t="shared" si="254"/>
        <v>5300</v>
      </c>
      <c r="EA83" s="15">
        <f t="shared" si="223"/>
        <v>5300</v>
      </c>
      <c r="ED83" s="15">
        <f t="shared" si="255"/>
        <v>5300</v>
      </c>
      <c r="EG83" s="15">
        <f t="shared" si="256"/>
        <v>5300</v>
      </c>
      <c r="EI83" s="15">
        <v>2541</v>
      </c>
      <c r="EK83" s="15">
        <v>400</v>
      </c>
      <c r="EL83" s="235">
        <f t="shared" si="258"/>
        <v>0.15741833923652104</v>
      </c>
    </row>
    <row r="84" spans="1:142" outlineLevel="1">
      <c r="A84" s="1" t="s">
        <v>76</v>
      </c>
      <c r="B84" s="1" t="s">
        <v>418</v>
      </c>
      <c r="C84" s="4" t="s">
        <v>419</v>
      </c>
      <c r="D84" s="8"/>
      <c r="E84" s="28"/>
      <c r="F84" s="8"/>
      <c r="G84" s="28"/>
      <c r="H84" s="9"/>
      <c r="I84" s="14"/>
      <c r="J84" s="14"/>
      <c r="M84" s="17"/>
      <c r="N84" s="17"/>
      <c r="P84" s="15"/>
      <c r="Q84" s="15"/>
      <c r="R84" s="15"/>
      <c r="S84" s="15"/>
      <c r="X84" s="118"/>
      <c r="Z84" s="118">
        <v>500</v>
      </c>
      <c r="AB84" s="187">
        <f t="shared" si="229"/>
        <v>500</v>
      </c>
      <c r="AC84" s="187"/>
      <c r="AD84" s="118">
        <v>500</v>
      </c>
      <c r="AE84" s="187"/>
      <c r="AF84" s="182"/>
      <c r="AG84" s="187"/>
      <c r="AH84" s="118">
        <v>500</v>
      </c>
      <c r="AI84" s="187"/>
      <c r="AJ84" s="182"/>
      <c r="AL84" s="15">
        <v>345</v>
      </c>
      <c r="AN84" s="15">
        <v>500</v>
      </c>
      <c r="AO84" s="17"/>
      <c r="AP84" s="17">
        <f t="shared" si="231"/>
        <v>0</v>
      </c>
      <c r="AQ84" s="17">
        <f t="shared" si="232"/>
        <v>0.44927536231884058</v>
      </c>
      <c r="BA84" s="15">
        <f t="shared" si="233"/>
        <v>500</v>
      </c>
      <c r="BD84" s="15">
        <f t="shared" si="34"/>
        <v>500</v>
      </c>
      <c r="BG84" s="15">
        <f t="shared" si="118"/>
        <v>500</v>
      </c>
      <c r="BI84" s="15">
        <v>2500</v>
      </c>
      <c r="BJ84" s="15">
        <f t="shared" si="119"/>
        <v>3000</v>
      </c>
      <c r="BL84" s="15">
        <v>2632</v>
      </c>
      <c r="BM84" s="235">
        <f t="shared" si="234"/>
        <v>0.8773333333333333</v>
      </c>
      <c r="BO84" s="15">
        <v>500</v>
      </c>
      <c r="BP84" s="235">
        <f t="shared" si="235"/>
        <v>0.1899696048632219</v>
      </c>
      <c r="BS84" s="15">
        <f t="shared" si="236"/>
        <v>500</v>
      </c>
      <c r="BV84" s="15">
        <f t="shared" si="237"/>
        <v>500</v>
      </c>
      <c r="BY84" s="15">
        <f t="shared" si="238"/>
        <v>500</v>
      </c>
      <c r="BZ84" s="145"/>
      <c r="CB84" s="15">
        <f t="shared" si="239"/>
        <v>500</v>
      </c>
      <c r="CE84" s="15">
        <f t="shared" si="240"/>
        <v>500</v>
      </c>
      <c r="CH84" s="15">
        <f t="shared" si="241"/>
        <v>500</v>
      </c>
      <c r="CK84" s="15">
        <f t="shared" si="242"/>
        <v>500</v>
      </c>
      <c r="CN84" s="15">
        <f t="shared" si="243"/>
        <v>500</v>
      </c>
      <c r="CP84" s="15">
        <v>250</v>
      </c>
      <c r="CR84" s="15">
        <v>0</v>
      </c>
      <c r="CS84" s="235">
        <f t="shared" si="244"/>
        <v>0</v>
      </c>
      <c r="CV84" s="15">
        <f t="shared" si="245"/>
        <v>0</v>
      </c>
      <c r="CY84" s="15">
        <f t="shared" si="246"/>
        <v>0</v>
      </c>
      <c r="DB84" s="15">
        <f t="shared" si="247"/>
        <v>0</v>
      </c>
      <c r="DE84" s="15">
        <f t="shared" si="248"/>
        <v>0</v>
      </c>
      <c r="DG84" s="227">
        <v>3000</v>
      </c>
      <c r="DH84" s="15">
        <f t="shared" si="249"/>
        <v>3000</v>
      </c>
      <c r="DK84" s="15">
        <f t="shared" si="250"/>
        <v>3000</v>
      </c>
      <c r="DN84" s="15">
        <f t="shared" si="251"/>
        <v>3000</v>
      </c>
      <c r="DQ84" s="15">
        <f t="shared" si="252"/>
        <v>3000</v>
      </c>
      <c r="DS84" s="15">
        <v>853</v>
      </c>
      <c r="DU84" s="15">
        <v>2000</v>
      </c>
      <c r="DV84" s="235">
        <f t="shared" si="253"/>
        <v>2.3446658851113718</v>
      </c>
      <c r="DX84" s="15">
        <f t="shared" si="254"/>
        <v>2000</v>
      </c>
      <c r="EA84" s="15">
        <f t="shared" si="223"/>
        <v>2000</v>
      </c>
      <c r="ED84" s="15">
        <f t="shared" si="255"/>
        <v>2000</v>
      </c>
      <c r="EF84" s="227">
        <v>2000</v>
      </c>
      <c r="EG84" s="15">
        <f t="shared" si="256"/>
        <v>4000</v>
      </c>
      <c r="EI84" s="15">
        <v>4792</v>
      </c>
      <c r="EK84" s="15">
        <v>5000</v>
      </c>
      <c r="EL84" s="235">
        <f t="shared" si="258"/>
        <v>1.0434056761268782</v>
      </c>
    </row>
    <row r="85" spans="1:142" outlineLevel="1">
      <c r="A85" s="1" t="s">
        <v>76</v>
      </c>
      <c r="B85" s="1" t="s">
        <v>297</v>
      </c>
      <c r="C85" s="4" t="s">
        <v>695</v>
      </c>
      <c r="D85" s="8"/>
      <c r="E85" s="28"/>
      <c r="F85" s="8"/>
      <c r="G85" s="28"/>
      <c r="H85" s="9"/>
      <c r="I85" s="14"/>
      <c r="J85" s="14"/>
      <c r="M85" s="17"/>
      <c r="N85" s="17"/>
      <c r="P85" s="15"/>
      <c r="Q85" s="15"/>
      <c r="R85" s="15"/>
      <c r="S85" s="15"/>
      <c r="X85" s="118"/>
      <c r="AB85" s="187"/>
      <c r="AC85" s="187"/>
      <c r="AE85" s="187"/>
      <c r="AF85" s="182"/>
      <c r="AG85" s="187"/>
      <c r="AI85" s="187"/>
      <c r="AJ85" s="182"/>
      <c r="AO85" s="17"/>
      <c r="AP85" s="17"/>
      <c r="AQ85" s="17"/>
      <c r="BA85" s="15"/>
      <c r="BD85" s="15"/>
      <c r="BG85" s="15"/>
      <c r="BJ85" s="15"/>
      <c r="BM85" s="235"/>
      <c r="BP85" s="235"/>
      <c r="BS85" s="15"/>
      <c r="BV85" s="15"/>
      <c r="BY85" s="15"/>
      <c r="BZ85" s="145"/>
      <c r="CB85" s="15"/>
      <c r="CE85" s="15"/>
      <c r="CH85" s="15"/>
      <c r="CK85" s="15"/>
      <c r="CN85" s="15"/>
      <c r="CS85" s="235"/>
      <c r="CV85" s="15"/>
      <c r="CY85" s="15"/>
      <c r="DB85" s="15"/>
      <c r="DE85" s="15"/>
      <c r="DG85" s="227"/>
      <c r="DH85" s="15"/>
      <c r="DK85" s="15"/>
      <c r="DN85" s="15"/>
      <c r="DQ85" s="15"/>
      <c r="DV85" s="235"/>
      <c r="DX85" s="15"/>
      <c r="EA85" s="15"/>
      <c r="ED85" s="15"/>
      <c r="EF85" s="227"/>
      <c r="EG85" s="15"/>
      <c r="EI85" s="15">
        <v>36390</v>
      </c>
      <c r="EK85" s="15">
        <v>0</v>
      </c>
      <c r="EL85" s="235"/>
    </row>
    <row r="86" spans="1:142" outlineLevel="1">
      <c r="A86" s="1" t="s">
        <v>76</v>
      </c>
      <c r="B86" s="1" t="s">
        <v>67</v>
      </c>
      <c r="C86" s="4" t="s">
        <v>554</v>
      </c>
      <c r="D86" s="8"/>
      <c r="E86" s="28"/>
      <c r="F86" s="8"/>
      <c r="G86" s="28"/>
      <c r="H86" s="9"/>
      <c r="I86" s="14"/>
      <c r="J86" s="14"/>
      <c r="M86" s="17"/>
      <c r="N86" s="17"/>
      <c r="P86" s="15"/>
      <c r="Q86" s="15"/>
      <c r="R86" s="15"/>
      <c r="S86" s="15"/>
      <c r="X86" s="118"/>
      <c r="AB86" s="187"/>
      <c r="AC86" s="187"/>
      <c r="AE86" s="187"/>
      <c r="AF86" s="182"/>
      <c r="AG86" s="187"/>
      <c r="AI86" s="187"/>
      <c r="AJ86" s="182"/>
      <c r="AO86" s="17"/>
      <c r="AP86" s="17"/>
      <c r="AQ86" s="17"/>
      <c r="BA86" s="15"/>
      <c r="BD86" s="15"/>
      <c r="BG86" s="15"/>
      <c r="BJ86" s="15"/>
      <c r="BM86" s="235"/>
      <c r="BP86" s="235"/>
      <c r="BR86" s="15">
        <v>1140</v>
      </c>
      <c r="BS86" s="15">
        <f t="shared" si="236"/>
        <v>1140</v>
      </c>
      <c r="BV86" s="15">
        <f t="shared" si="237"/>
        <v>1140</v>
      </c>
      <c r="BY86" s="15">
        <f t="shared" si="238"/>
        <v>1140</v>
      </c>
      <c r="BZ86" s="145"/>
      <c r="CB86" s="15">
        <f t="shared" si="239"/>
        <v>1140</v>
      </c>
      <c r="CE86" s="15">
        <f t="shared" si="240"/>
        <v>1140</v>
      </c>
      <c r="CH86" s="15">
        <f t="shared" si="241"/>
        <v>1140</v>
      </c>
      <c r="CK86" s="15">
        <f t="shared" si="242"/>
        <v>1140</v>
      </c>
      <c r="CN86" s="15">
        <f t="shared" si="243"/>
        <v>1140</v>
      </c>
      <c r="CP86" s="15">
        <v>1100</v>
      </c>
      <c r="CR86" s="15">
        <v>0</v>
      </c>
      <c r="CS86" s="235">
        <f t="shared" si="244"/>
        <v>0</v>
      </c>
      <c r="CV86" s="15">
        <f t="shared" si="245"/>
        <v>0</v>
      </c>
      <c r="CY86" s="15">
        <f t="shared" si="246"/>
        <v>0</v>
      </c>
      <c r="DB86" s="15">
        <f t="shared" si="247"/>
        <v>0</v>
      </c>
      <c r="DE86" s="15">
        <f t="shared" si="248"/>
        <v>0</v>
      </c>
      <c r="DH86" s="15">
        <f t="shared" si="249"/>
        <v>0</v>
      </c>
      <c r="DK86" s="15">
        <f t="shared" si="250"/>
        <v>0</v>
      </c>
      <c r="DN86" s="15">
        <f t="shared" si="251"/>
        <v>0</v>
      </c>
      <c r="DQ86" s="15">
        <f t="shared" si="252"/>
        <v>0</v>
      </c>
      <c r="DU86" s="15">
        <v>0</v>
      </c>
      <c r="DV86" s="235" t="e">
        <f t="shared" si="253"/>
        <v>#DIV/0!</v>
      </c>
      <c r="DX86" s="15">
        <f t="shared" si="254"/>
        <v>0</v>
      </c>
      <c r="DZ86" s="227">
        <v>84768.76</v>
      </c>
      <c r="EA86" s="15">
        <f t="shared" si="223"/>
        <v>84768.76</v>
      </c>
      <c r="ED86" s="15">
        <f t="shared" si="255"/>
        <v>84768.76</v>
      </c>
      <c r="EG86" s="15">
        <f t="shared" si="256"/>
        <v>84768.76</v>
      </c>
      <c r="EI86" s="15">
        <v>84769</v>
      </c>
      <c r="EK86" s="15">
        <v>0</v>
      </c>
      <c r="EL86" s="235">
        <f t="shared" si="258"/>
        <v>0</v>
      </c>
    </row>
    <row r="87" spans="1:142" outlineLevel="1">
      <c r="A87" s="1" t="s">
        <v>76</v>
      </c>
      <c r="B87" s="1" t="s">
        <v>61</v>
      </c>
      <c r="C87" s="4" t="s">
        <v>62</v>
      </c>
      <c r="D87" s="8">
        <v>0</v>
      </c>
      <c r="E87" s="28">
        <v>0</v>
      </c>
      <c r="F87" s="8">
        <v>0</v>
      </c>
      <c r="G87" s="28">
        <v>0</v>
      </c>
      <c r="H87" s="9">
        <v>2541</v>
      </c>
      <c r="I87" s="14">
        <v>2541</v>
      </c>
      <c r="J87" s="14"/>
      <c r="L87" s="118">
        <v>1000</v>
      </c>
      <c r="M87" s="17" t="e">
        <f t="shared" si="227"/>
        <v>#DIV/0!</v>
      </c>
      <c r="N87" s="17">
        <f t="shared" si="228"/>
        <v>-0.60645415190869734</v>
      </c>
      <c r="P87" s="15" t="s">
        <v>295</v>
      </c>
      <c r="Q87" s="15" t="s">
        <v>295</v>
      </c>
      <c r="R87" s="15" t="s">
        <v>295</v>
      </c>
      <c r="S87" s="15" t="s">
        <v>295</v>
      </c>
      <c r="U87" s="118">
        <v>1600</v>
      </c>
      <c r="X87" s="118">
        <v>1600</v>
      </c>
      <c r="Z87" s="118">
        <v>1600</v>
      </c>
      <c r="AB87" s="187">
        <f t="shared" si="229"/>
        <v>0</v>
      </c>
      <c r="AC87" s="187"/>
      <c r="AD87" s="118">
        <v>1600</v>
      </c>
      <c r="AE87" s="187"/>
      <c r="AF87" s="182"/>
      <c r="AG87" s="187"/>
      <c r="AH87" s="118">
        <v>1600</v>
      </c>
      <c r="AI87" s="187"/>
      <c r="AJ87" s="182"/>
      <c r="AL87" s="15">
        <v>1567</v>
      </c>
      <c r="AN87" s="15">
        <v>1000</v>
      </c>
      <c r="AO87" s="17">
        <f t="shared" si="230"/>
        <v>0</v>
      </c>
      <c r="AP87" s="17">
        <f t="shared" si="231"/>
        <v>-0.375</v>
      </c>
      <c r="AQ87" s="17">
        <f t="shared" si="232"/>
        <v>-0.36183790682833439</v>
      </c>
      <c r="BA87" s="15">
        <f t="shared" si="233"/>
        <v>1000</v>
      </c>
      <c r="BD87" s="15">
        <f t="shared" si="34"/>
        <v>1000</v>
      </c>
      <c r="BG87" s="15">
        <f t="shared" si="118"/>
        <v>1000</v>
      </c>
      <c r="BI87" s="15">
        <v>17000</v>
      </c>
      <c r="BJ87" s="15">
        <f t="shared" si="119"/>
        <v>18000</v>
      </c>
      <c r="BL87" s="15">
        <v>18400</v>
      </c>
      <c r="BM87" s="235">
        <f t="shared" si="234"/>
        <v>1.0222222222222221</v>
      </c>
      <c r="BO87" s="15">
        <v>30000</v>
      </c>
      <c r="BP87" s="235">
        <f t="shared" si="235"/>
        <v>1.6304347826086956</v>
      </c>
      <c r="BS87" s="15">
        <f t="shared" si="236"/>
        <v>30000</v>
      </c>
      <c r="BV87" s="15">
        <f t="shared" si="237"/>
        <v>30000</v>
      </c>
      <c r="BY87" s="15">
        <f t="shared" si="238"/>
        <v>30000</v>
      </c>
      <c r="BZ87" s="145">
        <v>29144</v>
      </c>
      <c r="CB87" s="15">
        <f t="shared" si="239"/>
        <v>30000</v>
      </c>
      <c r="CE87" s="15">
        <f t="shared" si="240"/>
        <v>30000</v>
      </c>
      <c r="CH87" s="15">
        <f t="shared" si="241"/>
        <v>30000</v>
      </c>
      <c r="CJ87" s="227">
        <v>30000</v>
      </c>
      <c r="CK87" s="15">
        <f t="shared" si="242"/>
        <v>60000</v>
      </c>
      <c r="CN87" s="15">
        <f t="shared" si="243"/>
        <v>60000</v>
      </c>
      <c r="CP87" s="15">
        <v>59144</v>
      </c>
      <c r="CR87" s="15">
        <v>30000</v>
      </c>
      <c r="CS87" s="235">
        <f>CR87/CP87</f>
        <v>0.50723657513864462</v>
      </c>
      <c r="CV87" s="15">
        <f t="shared" si="245"/>
        <v>30000</v>
      </c>
      <c r="CY87" s="15">
        <f t="shared" si="246"/>
        <v>30000</v>
      </c>
      <c r="DB87" s="15">
        <f t="shared" si="247"/>
        <v>30000</v>
      </c>
      <c r="DE87" s="15">
        <f t="shared" si="248"/>
        <v>30000</v>
      </c>
      <c r="DH87" s="15">
        <f t="shared" si="249"/>
        <v>30000</v>
      </c>
      <c r="DK87" s="15">
        <f t="shared" si="250"/>
        <v>30000</v>
      </c>
      <c r="DN87" s="15">
        <f t="shared" si="251"/>
        <v>30000</v>
      </c>
      <c r="DQ87" s="15">
        <f t="shared" si="252"/>
        <v>30000</v>
      </c>
      <c r="DS87" s="15">
        <v>44426</v>
      </c>
      <c r="DU87" s="15">
        <v>40000</v>
      </c>
      <c r="DV87" s="235">
        <f t="shared" si="253"/>
        <v>0.90037365506685274</v>
      </c>
      <c r="DX87" s="15">
        <f t="shared" si="254"/>
        <v>40000</v>
      </c>
      <c r="EA87" s="15">
        <f t="shared" si="223"/>
        <v>40000</v>
      </c>
      <c r="ED87" s="15">
        <f t="shared" si="255"/>
        <v>40000</v>
      </c>
      <c r="EF87" s="227">
        <v>42066</v>
      </c>
      <c r="EG87" s="15">
        <f t="shared" si="256"/>
        <v>82066</v>
      </c>
      <c r="EI87" s="15">
        <v>592</v>
      </c>
      <c r="EK87" s="424">
        <v>100000</v>
      </c>
      <c r="EL87" s="235">
        <f t="shared" si="258"/>
        <v>168.91891891891891</v>
      </c>
    </row>
    <row r="88" spans="1:142" outlineLevel="1">
      <c r="A88" s="1" t="s">
        <v>76</v>
      </c>
      <c r="B88" s="4" t="s">
        <v>46</v>
      </c>
      <c r="C88" s="4" t="s">
        <v>83</v>
      </c>
      <c r="D88" s="8">
        <v>37700</v>
      </c>
      <c r="E88" s="28">
        <v>204.82</v>
      </c>
      <c r="F88" s="8">
        <v>54200</v>
      </c>
      <c r="G88" s="28">
        <v>142.47</v>
      </c>
      <c r="H88" s="9">
        <v>77219</v>
      </c>
      <c r="I88" s="14"/>
      <c r="J88" s="14"/>
      <c r="P88" s="15"/>
      <c r="Q88" s="15"/>
      <c r="R88" s="15"/>
      <c r="S88" s="15"/>
      <c r="X88" s="118"/>
      <c r="AF88" s="182"/>
      <c r="AJ88" s="182"/>
      <c r="AO88" s="17"/>
      <c r="AP88" s="17"/>
      <c r="AQ88" s="17"/>
      <c r="BD88" s="15"/>
      <c r="BG88" s="15"/>
      <c r="BJ88" s="15"/>
      <c r="BZ88" s="145"/>
    </row>
    <row r="89" spans="1:142" ht="15.75" thickBot="1">
      <c r="A89" s="24"/>
      <c r="B89" s="25" t="s">
        <v>270</v>
      </c>
      <c r="C89" s="25" t="s">
        <v>296</v>
      </c>
      <c r="D89" s="22">
        <f>D87+D56</f>
        <v>8000</v>
      </c>
      <c r="E89" s="30"/>
      <c r="F89" s="22">
        <f>F87+F56</f>
        <v>8000</v>
      </c>
      <c r="G89" s="30"/>
      <c r="H89" s="22"/>
      <c r="I89" s="22">
        <f>I87+I56</f>
        <v>2541</v>
      </c>
      <c r="J89" s="22"/>
      <c r="K89" s="20"/>
      <c r="L89" s="166">
        <f>L87+L56</f>
        <v>1000</v>
      </c>
      <c r="M89" s="23">
        <f>L89/F89-1</f>
        <v>-0.875</v>
      </c>
      <c r="N89" s="23">
        <f>L89/I89-1</f>
        <v>-0.60645415190869734</v>
      </c>
      <c r="P89" s="144">
        <f>L89</f>
        <v>1000</v>
      </c>
      <c r="Q89" s="144">
        <f>P89</f>
        <v>1000</v>
      </c>
      <c r="R89" s="144">
        <f>Q89</f>
        <v>1000</v>
      </c>
      <c r="S89" s="144">
        <f>R89</f>
        <v>1000</v>
      </c>
      <c r="U89" s="166">
        <f>U87+U56</f>
        <v>1600</v>
      </c>
      <c r="X89" s="166">
        <f>X87+X56</f>
        <v>1600</v>
      </c>
      <c r="Z89" s="166">
        <f>Z76+Z87+Z56</f>
        <v>28590</v>
      </c>
      <c r="AD89" s="166">
        <f>AD76+AD87+AD56</f>
        <v>28590</v>
      </c>
      <c r="AF89" s="182"/>
      <c r="AH89" s="166">
        <f>AH76+AH87+AH56</f>
        <v>28590</v>
      </c>
      <c r="AJ89" s="182"/>
      <c r="AL89" s="165">
        <f>AL76+AL87+AL56</f>
        <v>28557</v>
      </c>
      <c r="AN89" s="165">
        <f>AN76+AN87+AN56</f>
        <v>1000</v>
      </c>
      <c r="AO89" s="17">
        <f t="shared" si="230"/>
        <v>0</v>
      </c>
      <c r="AP89" s="17">
        <f t="shared" si="231"/>
        <v>-0.96502273522210569</v>
      </c>
      <c r="AQ89" s="17">
        <f t="shared" si="232"/>
        <v>-0.96498231606961515</v>
      </c>
      <c r="AZ89" s="165">
        <f>AZ76+AZ87+AZ56</f>
        <v>0</v>
      </c>
      <c r="BA89" s="165">
        <f>BA76+BA87+BA56</f>
        <v>1000</v>
      </c>
      <c r="BD89" s="165">
        <f>BD76+BD87+BD56</f>
        <v>1000</v>
      </c>
      <c r="BG89" s="165">
        <f>BG76+BG87+BG56</f>
        <v>1000</v>
      </c>
      <c r="BI89" s="165">
        <f>BI76+BI87+BI56</f>
        <v>149000</v>
      </c>
      <c r="BJ89" s="165">
        <f>BJ76+BJ87+BJ56</f>
        <v>150000</v>
      </c>
      <c r="BL89" s="165">
        <f>BL76+BL87+BL56</f>
        <v>152244.6</v>
      </c>
      <c r="BM89" s="240">
        <f>BL89/BJ89</f>
        <v>1.014964</v>
      </c>
      <c r="BO89" s="165">
        <f>BO76+BO87+BO56</f>
        <v>40000</v>
      </c>
      <c r="BP89" s="240">
        <f>BO89/BL89</f>
        <v>0.26273509865046113</v>
      </c>
      <c r="BR89" s="165">
        <f t="shared" ref="BR89" si="259">BR76+BR87+BR56</f>
        <v>0</v>
      </c>
      <c r="BS89" s="165">
        <f>BS76+BS87+BS56</f>
        <v>40000</v>
      </c>
      <c r="BU89" s="165">
        <f t="shared" ref="BU89" si="260">BU76+BU87+BU56</f>
        <v>0</v>
      </c>
      <c r="BV89" s="165">
        <f>BV76+BV87+BV56</f>
        <v>40000</v>
      </c>
      <c r="BX89" s="165">
        <f t="shared" ref="BX89" si="261">BX76+BX87+BX56</f>
        <v>0</v>
      </c>
      <c r="BY89" s="165">
        <f>BY76+BY87+BY56</f>
        <v>40000</v>
      </c>
      <c r="BZ89" s="145"/>
      <c r="CA89" s="319">
        <f t="shared" ref="CA89" si="262">CA76+CA87+CA56</f>
        <v>0</v>
      </c>
      <c r="CB89" s="165">
        <f>CB76+CB87+CB56</f>
        <v>40000</v>
      </c>
      <c r="CD89" s="165">
        <f t="shared" ref="CD89" si="263">CD76+CD87+CD56</f>
        <v>0</v>
      </c>
      <c r="CE89" s="165">
        <f>CE76+CE87+CE56</f>
        <v>40000</v>
      </c>
      <c r="CG89" s="165">
        <f t="shared" ref="CG89" si="264">CG76+CG87+CG56</f>
        <v>0</v>
      </c>
      <c r="CH89" s="165">
        <f>CH76+CH87+CH56</f>
        <v>40000</v>
      </c>
      <c r="CJ89" s="165">
        <f t="shared" ref="CJ89" si="265">CJ76+CJ87+CJ56</f>
        <v>30000</v>
      </c>
      <c r="CK89" s="165">
        <f>CK76+CK87+CK56</f>
        <v>70000</v>
      </c>
      <c r="CM89" s="165">
        <f t="shared" ref="CM89" si="266">CM76+CM87+CM56</f>
        <v>0</v>
      </c>
      <c r="CN89" s="165">
        <f>CN76+CN87+CN56</f>
        <v>70000</v>
      </c>
      <c r="CP89" s="165">
        <f>CP76+CP87+CP56</f>
        <v>59144</v>
      </c>
      <c r="CR89" s="165">
        <f t="shared" ref="CR89" si="267">CR76+CR87+CR56</f>
        <v>30000</v>
      </c>
      <c r="CS89" s="240">
        <f>CR89/CP89</f>
        <v>0.50723657513864462</v>
      </c>
      <c r="CU89" s="165">
        <f>CU76+CU87+CU68+CU56</f>
        <v>150000</v>
      </c>
      <c r="CV89" s="165">
        <f>CV76+CV87+CV68+CV56</f>
        <v>180000</v>
      </c>
      <c r="CX89" s="165">
        <f>CX76+CX87+CX68+CX56</f>
        <v>0</v>
      </c>
      <c r="CY89" s="165">
        <f>CY76+CY87+CY68+CY56</f>
        <v>180000</v>
      </c>
      <c r="DA89" s="165">
        <f>DA76+DA87+DA68+DA56</f>
        <v>0</v>
      </c>
      <c r="DB89" s="165">
        <f>DB76+DB87+DB68+DB56</f>
        <v>180000</v>
      </c>
      <c r="DD89" s="165">
        <f>DD76+DD87+DD68+DD56</f>
        <v>11500</v>
      </c>
      <c r="DE89" s="165">
        <f>DE76+DE87+DE68+DE56</f>
        <v>191500</v>
      </c>
      <c r="DG89" s="165">
        <f>DG76+DG87+DG68+DG56</f>
        <v>0</v>
      </c>
      <c r="DH89" s="165">
        <f>DH76+DH87+DH68+DH56</f>
        <v>191500</v>
      </c>
      <c r="DJ89" s="165">
        <f>DJ76+DJ87+DJ68+DJ56</f>
        <v>0</v>
      </c>
      <c r="DK89" s="165">
        <f>DK76+DK87+DK68+DK56</f>
        <v>191500</v>
      </c>
      <c r="DM89" s="165">
        <f>DM76+DM87+DM68+DM56</f>
        <v>0</v>
      </c>
      <c r="DN89" s="165">
        <f>DN76+DN87+DN68+DN56</f>
        <v>191500</v>
      </c>
      <c r="DP89" s="165">
        <f>DP76+DP87+DP68+DP56</f>
        <v>0</v>
      </c>
      <c r="DQ89" s="165">
        <f>DQ76+DQ87+DQ68+DQ56</f>
        <v>191500</v>
      </c>
      <c r="DS89" s="165">
        <f>DS76+DS87+DS68+DS56</f>
        <v>205926</v>
      </c>
      <c r="DU89" s="165">
        <f>DU76+DU87+DU68+DU56</f>
        <v>40000</v>
      </c>
      <c r="DW89" s="165">
        <f>DW76+DW87+DW68+DW56</f>
        <v>0</v>
      </c>
      <c r="DX89" s="165">
        <f>DX76+DX87+DX68+DX56</f>
        <v>40000</v>
      </c>
      <c r="DZ89" s="165">
        <f>DZ76+DZ87+DZ68+DZ56</f>
        <v>0</v>
      </c>
      <c r="EA89" s="165">
        <f>EA76+EA87+EA68+EA56</f>
        <v>40000</v>
      </c>
      <c r="EC89" s="165">
        <f>EC76+EC87+EC68+EC56</f>
        <v>0</v>
      </c>
      <c r="ED89" s="165">
        <f>ED76+ED87+ED68+ED56</f>
        <v>40000</v>
      </c>
      <c r="EF89" s="165">
        <f>EF76+EF87+EF68+EF56</f>
        <v>42066</v>
      </c>
      <c r="EG89" s="165">
        <f>EG76+EG87+EG68+EG56</f>
        <v>82066</v>
      </c>
      <c r="EI89" s="165">
        <f>EI76+EI87+EI68+EI56</f>
        <v>592</v>
      </c>
      <c r="EK89" s="165">
        <f>EK76+EK87+EK68+EK56</f>
        <v>100000</v>
      </c>
    </row>
    <row r="90" spans="1:142" ht="15.75" outlineLevel="1" thickTop="1">
      <c r="A90" s="10" t="s">
        <v>0</v>
      </c>
      <c r="P90" s="147">
        <f>P22-L22</f>
        <v>-334050</v>
      </c>
      <c r="Q90" s="147">
        <f>Q22-L22</f>
        <v>-501075</v>
      </c>
      <c r="R90" s="147">
        <f>R22-L22</f>
        <v>-668100</v>
      </c>
      <c r="S90" s="147">
        <f>S22-L22</f>
        <v>-935340</v>
      </c>
      <c r="U90" s="147">
        <f>U22-L22</f>
        <v>-887800</v>
      </c>
      <c r="W90" s="15">
        <f>(U22+U33+U89)-(L22+L33+L89+662200)</f>
        <v>-801700</v>
      </c>
      <c r="AF90" s="182"/>
      <c r="AJ90" s="182"/>
      <c r="BZ90" s="145"/>
    </row>
    <row r="91" spans="1:142" outlineLevel="1">
      <c r="A91" s="1" t="s">
        <v>0</v>
      </c>
      <c r="B91" s="1" t="s">
        <v>0</v>
      </c>
      <c r="C91" s="1" t="s">
        <v>0</v>
      </c>
      <c r="D91" s="1" t="s">
        <v>1</v>
      </c>
      <c r="E91" s="26" t="s">
        <v>0</v>
      </c>
      <c r="F91" s="1" t="s">
        <v>2</v>
      </c>
      <c r="G91" s="26" t="s">
        <v>0</v>
      </c>
      <c r="H91" s="2" t="s">
        <v>3</v>
      </c>
      <c r="I91" s="13"/>
      <c r="J91" s="13"/>
      <c r="O91" s="150">
        <v>0.01</v>
      </c>
      <c r="P91" s="147">
        <f>P90/10</f>
        <v>-33405</v>
      </c>
      <c r="Q91" s="15"/>
      <c r="AF91" s="182"/>
      <c r="AJ91" s="182"/>
      <c r="BZ91" s="145"/>
    </row>
    <row r="92" spans="1:142" outlineLevel="1">
      <c r="A92" s="1" t="s">
        <v>4</v>
      </c>
      <c r="B92" s="1" t="s">
        <v>5</v>
      </c>
      <c r="C92" s="4" t="s">
        <v>6</v>
      </c>
      <c r="D92" s="1" t="s">
        <v>7</v>
      </c>
      <c r="E92" s="26" t="s">
        <v>8</v>
      </c>
      <c r="F92" s="1" t="s">
        <v>9</v>
      </c>
      <c r="G92" s="26" t="s">
        <v>8</v>
      </c>
      <c r="H92" s="2" t="s">
        <v>10</v>
      </c>
      <c r="I92" s="13"/>
      <c r="J92" s="13"/>
      <c r="P92" s="15"/>
      <c r="Q92" s="15"/>
      <c r="AF92" s="182"/>
      <c r="AJ92" s="182"/>
      <c r="BZ92" s="145"/>
    </row>
    <row r="93" spans="1:142" outlineLevel="1">
      <c r="A93" s="3" t="s">
        <v>84</v>
      </c>
      <c r="B93" s="5" t="s">
        <v>48</v>
      </c>
      <c r="C93" s="5" t="s">
        <v>85</v>
      </c>
      <c r="D93" s="6">
        <v>37700</v>
      </c>
      <c r="E93" s="27">
        <v>204.82</v>
      </c>
      <c r="F93" s="6">
        <v>54200</v>
      </c>
      <c r="G93" s="27">
        <v>142.47</v>
      </c>
      <c r="H93" s="7">
        <v>77219</v>
      </c>
      <c r="I93" s="14"/>
      <c r="J93" s="14"/>
      <c r="P93" s="15"/>
      <c r="Q93" s="15"/>
      <c r="X93" s="15"/>
      <c r="AF93" s="182"/>
      <c r="AJ93" s="182"/>
      <c r="BZ93" s="145"/>
    </row>
    <row r="94" spans="1:142" outlineLevel="1">
      <c r="A94" s="10" t="s">
        <v>0</v>
      </c>
      <c r="P94" s="15"/>
      <c r="Q94" s="15"/>
      <c r="X94" s="15"/>
      <c r="AF94" s="182"/>
      <c r="AJ94" s="182"/>
      <c r="BZ94" s="145"/>
    </row>
    <row r="95" spans="1:142" outlineLevel="1">
      <c r="A95" s="1" t="s">
        <v>86</v>
      </c>
      <c r="B95" s="1" t="s">
        <v>87</v>
      </c>
      <c r="C95" s="4" t="s">
        <v>88</v>
      </c>
      <c r="D95" s="8">
        <v>200</v>
      </c>
      <c r="E95" s="28">
        <v>59.92</v>
      </c>
      <c r="F95" s="8">
        <v>200</v>
      </c>
      <c r="G95" s="28">
        <v>59.92</v>
      </c>
      <c r="H95" s="9">
        <v>119.84</v>
      </c>
      <c r="I95" s="14">
        <f>H95*$I$2</f>
        <v>143.80799999999999</v>
      </c>
      <c r="J95" s="14"/>
      <c r="L95" s="118">
        <v>200</v>
      </c>
      <c r="M95" s="17">
        <f>L95/F95-1</f>
        <v>0</v>
      </c>
      <c r="N95" s="17">
        <f>L95/I95-1</f>
        <v>0.39074321317311989</v>
      </c>
      <c r="P95" s="15"/>
      <c r="Q95" s="15"/>
      <c r="U95" s="118">
        <v>200</v>
      </c>
      <c r="X95" s="15">
        <v>200</v>
      </c>
      <c r="Z95" s="118">
        <v>100</v>
      </c>
      <c r="AB95" s="187">
        <f t="shared" ref="AB95" si="268">Z95-X95</f>
        <v>-100</v>
      </c>
      <c r="AC95" s="187"/>
      <c r="AD95" s="118">
        <v>100</v>
      </c>
      <c r="AE95" s="187"/>
      <c r="AF95" s="182"/>
      <c r="AG95" s="187"/>
      <c r="AH95" s="118">
        <v>100</v>
      </c>
      <c r="AI95" s="187"/>
      <c r="AJ95" s="182"/>
      <c r="AL95" s="15">
        <v>90</v>
      </c>
      <c r="AN95" s="15">
        <v>100</v>
      </c>
      <c r="AO95" s="17">
        <f t="shared" ref="AO95" si="269">AN95/L95-1</f>
        <v>-0.5</v>
      </c>
      <c r="AP95" s="17">
        <f t="shared" ref="AP95" si="270">AN95/AH95-1</f>
        <v>0</v>
      </c>
      <c r="AQ95" s="17">
        <f t="shared" ref="AQ95" si="271">AN95/AL95-1</f>
        <v>0.11111111111111116</v>
      </c>
      <c r="BA95" s="15">
        <f t="shared" ref="BA95" si="272">AN95+AZ95</f>
        <v>100</v>
      </c>
      <c r="BD95" s="15">
        <f>BA95</f>
        <v>100</v>
      </c>
      <c r="BG95" s="15">
        <f>BD95</f>
        <v>100</v>
      </c>
      <c r="BI95" s="15">
        <v>-100</v>
      </c>
      <c r="BJ95" s="15">
        <f t="shared" ref="BJ95:BJ96" si="273">BG95+BI95</f>
        <v>0</v>
      </c>
      <c r="BL95" s="15">
        <v>0</v>
      </c>
      <c r="BM95" s="235" t="e">
        <f t="shared" ref="BM95" si="274">BL95/BJ95</f>
        <v>#DIV/0!</v>
      </c>
      <c r="BO95" s="15">
        <v>0</v>
      </c>
      <c r="BS95" s="15">
        <f t="shared" ref="BS95:BS96" si="275">BO95+BR95</f>
        <v>0</v>
      </c>
      <c r="BV95" s="15">
        <f t="shared" ref="BV95:BV96" si="276">BS95+BU95</f>
        <v>0</v>
      </c>
      <c r="BY95" s="15">
        <f t="shared" ref="BY95:BY96" si="277">BV95+BX95</f>
        <v>0</v>
      </c>
      <c r="BZ95" s="145">
        <v>8.11</v>
      </c>
      <c r="CB95" s="15">
        <f t="shared" ref="CB95:CB96" si="278">BY95+CA95</f>
        <v>0</v>
      </c>
      <c r="CE95" s="15">
        <f t="shared" ref="CE95:CE96" si="279">CB95+CD95</f>
        <v>0</v>
      </c>
      <c r="CH95" s="15">
        <f t="shared" ref="CH95:CH96" si="280">CE95+CG95</f>
        <v>0</v>
      </c>
      <c r="CK95" s="15">
        <f t="shared" ref="CK95:CK96" si="281">CH95+CJ95</f>
        <v>0</v>
      </c>
      <c r="CN95" s="15">
        <f t="shared" ref="CN95:CN96" si="282">CK95+CM95</f>
        <v>0</v>
      </c>
      <c r="CP95" s="15">
        <v>8.49</v>
      </c>
      <c r="CR95" s="15">
        <v>0</v>
      </c>
      <c r="CV95" s="15">
        <f t="shared" ref="CV95:CV105" si="283">CR95+CU95</f>
        <v>0</v>
      </c>
      <c r="CY95" s="15">
        <f t="shared" ref="CY95:CY105" si="284">CV95+CX95</f>
        <v>0</v>
      </c>
      <c r="DB95" s="15">
        <f t="shared" ref="DB95:DB105" si="285">CY95+DA95</f>
        <v>0</v>
      </c>
      <c r="DE95" s="15">
        <f t="shared" ref="DE95:DE105" si="286">DB95+DD95</f>
        <v>0</v>
      </c>
      <c r="DG95" s="227">
        <v>27000</v>
      </c>
      <c r="DH95" s="15">
        <f t="shared" ref="DH95:DH105" si="287">DE95+DG95</f>
        <v>27000</v>
      </c>
      <c r="DK95" s="15">
        <f t="shared" ref="DK95:DK105" si="288">DH95+DJ95</f>
        <v>27000</v>
      </c>
      <c r="DN95" s="15">
        <f t="shared" ref="DN95:DN105" si="289">DK95+DM95</f>
        <v>27000</v>
      </c>
      <c r="DQ95" s="15">
        <f t="shared" ref="DQ95:DQ105" si="290">DN95+DP95</f>
        <v>27000</v>
      </c>
      <c r="DS95" s="15">
        <v>27001.7</v>
      </c>
      <c r="DU95" s="15">
        <v>13500</v>
      </c>
      <c r="DX95" s="15">
        <f t="shared" ref="DX95:DX105" si="291">DU95+DW95</f>
        <v>13500</v>
      </c>
      <c r="EA95" s="15">
        <f t="shared" ref="EA95:EA105" si="292">DX95+DZ95</f>
        <v>13500</v>
      </c>
      <c r="ED95" s="15">
        <f t="shared" ref="ED95:ED105" si="293">EA95+EC95</f>
        <v>13500</v>
      </c>
      <c r="EG95" s="15">
        <f t="shared" ref="EG95:EG105" si="294">ED95+EF95</f>
        <v>13500</v>
      </c>
      <c r="EI95" s="15">
        <v>12379.18</v>
      </c>
      <c r="EK95" s="15">
        <v>0</v>
      </c>
      <c r="EL95" s="235">
        <f t="shared" ref="EL95:EL96" si="295">EK95/EI95</f>
        <v>0</v>
      </c>
    </row>
    <row r="96" spans="1:142" outlineLevel="1">
      <c r="A96" s="1" t="s">
        <v>86</v>
      </c>
      <c r="B96" s="1" t="s">
        <v>490</v>
      </c>
      <c r="C96" s="4" t="s">
        <v>491</v>
      </c>
      <c r="D96" s="8"/>
      <c r="E96" s="28"/>
      <c r="F96" s="8"/>
      <c r="G96" s="28"/>
      <c r="H96" s="9"/>
      <c r="I96" s="14"/>
      <c r="J96" s="14"/>
      <c r="M96" s="17"/>
      <c r="N96" s="17"/>
      <c r="P96" s="15"/>
      <c r="Q96" s="15"/>
      <c r="X96" s="15"/>
      <c r="AB96" s="187"/>
      <c r="AC96" s="187"/>
      <c r="AE96" s="187"/>
      <c r="AF96" s="182"/>
      <c r="AG96" s="187"/>
      <c r="AI96" s="187"/>
      <c r="AJ96" s="182"/>
      <c r="AO96" s="17"/>
      <c r="AP96" s="17"/>
      <c r="AQ96" s="17"/>
      <c r="BA96" s="15"/>
      <c r="BD96" s="15"/>
      <c r="BG96" s="15"/>
      <c r="BI96" s="15">
        <v>9100</v>
      </c>
      <c r="BJ96" s="15">
        <f t="shared" si="273"/>
        <v>9100</v>
      </c>
      <c r="BL96" s="15">
        <v>9078.5</v>
      </c>
      <c r="BM96" s="235">
        <f t="shared" ref="BM96" si="296">BL96/BJ96</f>
        <v>0.99763736263736269</v>
      </c>
      <c r="BS96" s="15">
        <f t="shared" si="275"/>
        <v>0</v>
      </c>
      <c r="BV96" s="15">
        <f t="shared" si="276"/>
        <v>0</v>
      </c>
      <c r="BY96" s="15">
        <f t="shared" si="277"/>
        <v>0</v>
      </c>
      <c r="BZ96" s="145"/>
      <c r="CB96" s="15">
        <f t="shared" si="278"/>
        <v>0</v>
      </c>
      <c r="CE96" s="15">
        <f t="shared" si="279"/>
        <v>0</v>
      </c>
      <c r="CH96" s="15">
        <f t="shared" si="280"/>
        <v>0</v>
      </c>
      <c r="CK96" s="15">
        <f t="shared" si="281"/>
        <v>0</v>
      </c>
      <c r="CN96" s="15">
        <f t="shared" si="282"/>
        <v>0</v>
      </c>
      <c r="CV96" s="15">
        <f t="shared" si="283"/>
        <v>0</v>
      </c>
      <c r="CY96" s="15">
        <f t="shared" si="284"/>
        <v>0</v>
      </c>
      <c r="DB96" s="15">
        <f t="shared" si="285"/>
        <v>0</v>
      </c>
      <c r="DE96" s="15">
        <f t="shared" si="286"/>
        <v>0</v>
      </c>
      <c r="DH96" s="15">
        <f t="shared" si="287"/>
        <v>0</v>
      </c>
      <c r="DK96" s="15">
        <f t="shared" si="288"/>
        <v>0</v>
      </c>
      <c r="DN96" s="15">
        <f t="shared" si="289"/>
        <v>0</v>
      </c>
      <c r="DQ96" s="15">
        <f t="shared" si="290"/>
        <v>0</v>
      </c>
      <c r="DX96" s="15">
        <f t="shared" si="291"/>
        <v>0</v>
      </c>
      <c r="EA96" s="15">
        <f t="shared" si="292"/>
        <v>0</v>
      </c>
      <c r="ED96" s="15">
        <f t="shared" si="293"/>
        <v>0</v>
      </c>
      <c r="EG96" s="15">
        <f t="shared" si="294"/>
        <v>0</v>
      </c>
      <c r="EI96" s="15">
        <v>2882</v>
      </c>
      <c r="EK96" s="15">
        <v>0</v>
      </c>
      <c r="EL96" s="235">
        <f t="shared" si="295"/>
        <v>0</v>
      </c>
    </row>
    <row r="97" spans="1:142" outlineLevel="1">
      <c r="A97" s="1" t="s">
        <v>86</v>
      </c>
      <c r="B97" s="4" t="s">
        <v>46</v>
      </c>
      <c r="C97" s="4" t="s">
        <v>89</v>
      </c>
      <c r="D97" s="8">
        <v>200</v>
      </c>
      <c r="E97" s="28">
        <v>59.92</v>
      </c>
      <c r="F97" s="8">
        <v>200</v>
      </c>
      <c r="G97" s="28">
        <v>59.92</v>
      </c>
      <c r="H97" s="9">
        <v>119.84</v>
      </c>
      <c r="I97" s="14"/>
      <c r="J97" s="14"/>
      <c r="P97" s="15"/>
      <c r="Q97" s="15"/>
      <c r="X97" s="15"/>
      <c r="AF97" s="182"/>
      <c r="AJ97" s="182"/>
      <c r="BZ97" s="145"/>
      <c r="CV97" s="15">
        <f t="shared" si="283"/>
        <v>0</v>
      </c>
      <c r="CY97" s="15">
        <f t="shared" si="284"/>
        <v>0</v>
      </c>
      <c r="DB97" s="15">
        <f t="shared" si="285"/>
        <v>0</v>
      </c>
      <c r="DE97" s="15">
        <f t="shared" si="286"/>
        <v>0</v>
      </c>
      <c r="DH97" s="15">
        <f t="shared" si="287"/>
        <v>0</v>
      </c>
      <c r="DK97" s="15">
        <f t="shared" si="288"/>
        <v>0</v>
      </c>
      <c r="DN97" s="15">
        <f t="shared" si="289"/>
        <v>0</v>
      </c>
      <c r="DQ97" s="15">
        <f t="shared" si="290"/>
        <v>0</v>
      </c>
      <c r="DX97" s="15">
        <f t="shared" si="291"/>
        <v>0</v>
      </c>
      <c r="EA97" s="15">
        <f t="shared" si="292"/>
        <v>0</v>
      </c>
      <c r="ED97" s="15">
        <f t="shared" si="293"/>
        <v>0</v>
      </c>
      <c r="EG97" s="15">
        <f t="shared" si="294"/>
        <v>0</v>
      </c>
    </row>
    <row r="98" spans="1:142" outlineLevel="1">
      <c r="A98" s="1" t="s">
        <v>90</v>
      </c>
      <c r="B98" s="4" t="s">
        <v>48</v>
      </c>
      <c r="C98" s="4" t="s">
        <v>89</v>
      </c>
      <c r="D98" s="8">
        <v>200</v>
      </c>
      <c r="E98" s="28">
        <v>59.92</v>
      </c>
      <c r="F98" s="8">
        <v>200</v>
      </c>
      <c r="G98" s="28">
        <v>59.92</v>
      </c>
      <c r="H98" s="9">
        <v>119.84</v>
      </c>
      <c r="I98" s="14"/>
      <c r="J98" s="14"/>
      <c r="P98" s="15"/>
      <c r="Q98" s="15"/>
      <c r="X98" s="15"/>
      <c r="AF98" s="182"/>
      <c r="AJ98" s="182"/>
      <c r="BZ98" s="145"/>
      <c r="CV98" s="15">
        <f t="shared" si="283"/>
        <v>0</v>
      </c>
      <c r="CY98" s="15">
        <f t="shared" si="284"/>
        <v>0</v>
      </c>
      <c r="DB98" s="15">
        <f t="shared" si="285"/>
        <v>0</v>
      </c>
      <c r="DE98" s="15">
        <f t="shared" si="286"/>
        <v>0</v>
      </c>
      <c r="DH98" s="15">
        <f t="shared" si="287"/>
        <v>0</v>
      </c>
      <c r="DK98" s="15">
        <f t="shared" si="288"/>
        <v>0</v>
      </c>
      <c r="DN98" s="15">
        <f t="shared" si="289"/>
        <v>0</v>
      </c>
      <c r="DQ98" s="15">
        <f t="shared" si="290"/>
        <v>0</v>
      </c>
      <c r="DX98" s="15">
        <f t="shared" si="291"/>
        <v>0</v>
      </c>
      <c r="EA98" s="15">
        <f t="shared" si="292"/>
        <v>0</v>
      </c>
      <c r="ED98" s="15">
        <f t="shared" si="293"/>
        <v>0</v>
      </c>
      <c r="EG98" s="15">
        <f t="shared" si="294"/>
        <v>0</v>
      </c>
    </row>
    <row r="99" spans="1:142" outlineLevel="1">
      <c r="A99" s="10" t="s">
        <v>0</v>
      </c>
      <c r="P99" s="15"/>
      <c r="Q99" s="15"/>
      <c r="X99" s="15"/>
      <c r="AF99" s="182"/>
      <c r="AJ99" s="182"/>
      <c r="BZ99" s="145"/>
      <c r="CV99" s="15">
        <f t="shared" si="283"/>
        <v>0</v>
      </c>
      <c r="CY99" s="15">
        <f t="shared" si="284"/>
        <v>0</v>
      </c>
      <c r="DB99" s="15">
        <f t="shared" si="285"/>
        <v>0</v>
      </c>
      <c r="DE99" s="15">
        <f t="shared" si="286"/>
        <v>0</v>
      </c>
      <c r="DH99" s="15">
        <f t="shared" si="287"/>
        <v>0</v>
      </c>
      <c r="DK99" s="15">
        <f t="shared" si="288"/>
        <v>0</v>
      </c>
      <c r="DN99" s="15">
        <f t="shared" si="289"/>
        <v>0</v>
      </c>
      <c r="DQ99" s="15">
        <f t="shared" si="290"/>
        <v>0</v>
      </c>
      <c r="DX99" s="15">
        <f t="shared" si="291"/>
        <v>0</v>
      </c>
      <c r="EA99" s="15">
        <f t="shared" si="292"/>
        <v>0</v>
      </c>
      <c r="ED99" s="15">
        <f t="shared" si="293"/>
        <v>0</v>
      </c>
      <c r="EG99" s="15">
        <f t="shared" si="294"/>
        <v>0</v>
      </c>
    </row>
    <row r="100" spans="1:142" ht="14.25" customHeight="1" outlineLevel="1">
      <c r="A100" s="1" t="s">
        <v>91</v>
      </c>
      <c r="B100" s="1" t="s">
        <v>92</v>
      </c>
      <c r="C100" s="4" t="s">
        <v>93</v>
      </c>
      <c r="D100" s="8">
        <v>50000</v>
      </c>
      <c r="E100" s="28">
        <v>1977</v>
      </c>
      <c r="F100" s="8">
        <v>50000</v>
      </c>
      <c r="G100" s="28">
        <v>1977</v>
      </c>
      <c r="H100" s="9">
        <v>988500</v>
      </c>
      <c r="I100" s="14">
        <f>H100</f>
        <v>988500</v>
      </c>
      <c r="J100" s="14"/>
      <c r="L100" s="118">
        <v>0</v>
      </c>
      <c r="M100" s="17">
        <f>L100/F100-1</f>
        <v>-1</v>
      </c>
      <c r="N100" s="17">
        <f>L100/I100-1</f>
        <v>-1</v>
      </c>
      <c r="P100" s="15"/>
      <c r="Q100" s="15"/>
      <c r="X100" s="15"/>
      <c r="AF100" s="182"/>
      <c r="AJ100" s="182"/>
      <c r="AL100" s="187">
        <v>1209500</v>
      </c>
      <c r="BL100" s="15">
        <v>330800</v>
      </c>
      <c r="BM100" s="235" t="e">
        <f t="shared" ref="BM100:BM101" si="297">BL100/BJ100</f>
        <v>#DIV/0!</v>
      </c>
      <c r="BS100" s="15">
        <f t="shared" ref="BS100:BS101" si="298">BO100+BR100</f>
        <v>0</v>
      </c>
      <c r="BV100" s="15">
        <f t="shared" ref="BV100:BV101" si="299">BS100+BU100</f>
        <v>0</v>
      </c>
      <c r="BY100" s="15">
        <f t="shared" ref="BY100:BY101" si="300">BV100+BX100</f>
        <v>0</v>
      </c>
      <c r="BZ100" s="145"/>
      <c r="CB100" s="15">
        <f t="shared" ref="CB100:CB101" si="301">BY100+CA100</f>
        <v>0</v>
      </c>
      <c r="CE100" s="15">
        <f t="shared" ref="CE100:CE101" si="302">CB100+CD100</f>
        <v>0</v>
      </c>
      <c r="CH100" s="15">
        <f t="shared" ref="CH100:CH101" si="303">CE100+CG100</f>
        <v>0</v>
      </c>
      <c r="CK100" s="15">
        <f t="shared" ref="CK100:CK101" si="304">CH100+CJ100</f>
        <v>0</v>
      </c>
      <c r="CN100" s="15">
        <f t="shared" ref="CN100:CN101" si="305">CK100+CM100</f>
        <v>0</v>
      </c>
      <c r="CP100" s="15">
        <v>1772500</v>
      </c>
      <c r="CV100" s="15">
        <f t="shared" si="283"/>
        <v>0</v>
      </c>
      <c r="CY100" s="15">
        <f t="shared" si="284"/>
        <v>0</v>
      </c>
      <c r="DB100" s="15">
        <f t="shared" si="285"/>
        <v>0</v>
      </c>
      <c r="DE100" s="15">
        <f t="shared" si="286"/>
        <v>0</v>
      </c>
      <c r="DH100" s="15">
        <f t="shared" si="287"/>
        <v>0</v>
      </c>
      <c r="DK100" s="15">
        <f t="shared" si="288"/>
        <v>0</v>
      </c>
      <c r="DN100" s="15">
        <f t="shared" si="289"/>
        <v>0</v>
      </c>
      <c r="DQ100" s="15">
        <f t="shared" si="290"/>
        <v>0</v>
      </c>
      <c r="DS100" s="15">
        <v>1807200</v>
      </c>
      <c r="DX100" s="15">
        <f t="shared" si="291"/>
        <v>0</v>
      </c>
      <c r="EA100" s="15">
        <f t="shared" si="292"/>
        <v>0</v>
      </c>
      <c r="ED100" s="15">
        <f t="shared" si="293"/>
        <v>0</v>
      </c>
      <c r="EG100" s="15">
        <f t="shared" si="294"/>
        <v>0</v>
      </c>
      <c r="EI100" s="15">
        <v>706000</v>
      </c>
    </row>
    <row r="101" spans="1:142" outlineLevel="1">
      <c r="A101" s="1" t="s">
        <v>91</v>
      </c>
      <c r="B101" s="1" t="s">
        <v>94</v>
      </c>
      <c r="C101" s="4" t="s">
        <v>95</v>
      </c>
      <c r="D101" s="8">
        <v>0</v>
      </c>
      <c r="E101" s="28">
        <v>0</v>
      </c>
      <c r="F101" s="8">
        <v>0</v>
      </c>
      <c r="G101" s="28">
        <v>0</v>
      </c>
      <c r="H101" s="9">
        <v>96000</v>
      </c>
      <c r="I101" s="14">
        <f>H101</f>
        <v>96000</v>
      </c>
      <c r="J101" s="14"/>
      <c r="L101" s="118">
        <v>0</v>
      </c>
      <c r="M101" s="17" t="e">
        <f>L101/F101-1</f>
        <v>#DIV/0!</v>
      </c>
      <c r="N101" s="17">
        <f>L101/I101-1</f>
        <v>-1</v>
      </c>
      <c r="P101" s="15"/>
      <c r="Q101" s="15"/>
      <c r="X101" s="15"/>
      <c r="AF101" s="182"/>
      <c r="AJ101" s="182"/>
      <c r="AL101" s="187">
        <v>60000</v>
      </c>
      <c r="BL101" s="15">
        <v>70000</v>
      </c>
      <c r="BM101" s="235" t="e">
        <f t="shared" si="297"/>
        <v>#DIV/0!</v>
      </c>
      <c r="BS101" s="15">
        <f t="shared" si="298"/>
        <v>0</v>
      </c>
      <c r="BV101" s="15">
        <f t="shared" si="299"/>
        <v>0</v>
      </c>
      <c r="BY101" s="15">
        <f t="shared" si="300"/>
        <v>0</v>
      </c>
      <c r="BZ101" s="145"/>
      <c r="CB101" s="15">
        <f t="shared" si="301"/>
        <v>0</v>
      </c>
      <c r="CE101" s="15">
        <f t="shared" si="302"/>
        <v>0</v>
      </c>
      <c r="CH101" s="15">
        <f t="shared" si="303"/>
        <v>0</v>
      </c>
      <c r="CK101" s="15">
        <f t="shared" si="304"/>
        <v>0</v>
      </c>
      <c r="CN101" s="15">
        <f t="shared" si="305"/>
        <v>0</v>
      </c>
      <c r="CP101" s="15">
        <v>110000</v>
      </c>
      <c r="CV101" s="15">
        <f t="shared" si="283"/>
        <v>0</v>
      </c>
      <c r="CY101" s="15">
        <f t="shared" si="284"/>
        <v>0</v>
      </c>
      <c r="DB101" s="15">
        <f t="shared" si="285"/>
        <v>0</v>
      </c>
      <c r="DE101" s="15">
        <f t="shared" si="286"/>
        <v>0</v>
      </c>
      <c r="DH101" s="15">
        <f t="shared" si="287"/>
        <v>0</v>
      </c>
      <c r="DK101" s="15">
        <f t="shared" si="288"/>
        <v>0</v>
      </c>
      <c r="DN101" s="15">
        <f t="shared" si="289"/>
        <v>0</v>
      </c>
      <c r="DQ101" s="15">
        <f t="shared" si="290"/>
        <v>0</v>
      </c>
      <c r="DS101" s="15">
        <v>242000</v>
      </c>
      <c r="DX101" s="15">
        <f t="shared" si="291"/>
        <v>0</v>
      </c>
      <c r="EA101" s="15">
        <f t="shared" si="292"/>
        <v>0</v>
      </c>
      <c r="ED101" s="15">
        <f t="shared" si="293"/>
        <v>0</v>
      </c>
      <c r="EG101" s="15">
        <f t="shared" si="294"/>
        <v>0</v>
      </c>
      <c r="EI101" s="15">
        <v>60000</v>
      </c>
    </row>
    <row r="102" spans="1:142" outlineLevel="1">
      <c r="A102" s="1" t="s">
        <v>91</v>
      </c>
      <c r="B102" s="4" t="s">
        <v>46</v>
      </c>
      <c r="C102" s="4" t="s">
        <v>96</v>
      </c>
      <c r="D102" s="8">
        <v>50000</v>
      </c>
      <c r="E102" s="28">
        <v>2169</v>
      </c>
      <c r="F102" s="8">
        <v>50000</v>
      </c>
      <c r="G102" s="28">
        <v>2169</v>
      </c>
      <c r="H102" s="9">
        <v>1084500</v>
      </c>
      <c r="I102" s="14"/>
      <c r="J102" s="14"/>
      <c r="P102" s="15"/>
      <c r="Q102" s="15"/>
      <c r="X102" s="15"/>
      <c r="AF102" s="182"/>
      <c r="AJ102" s="182"/>
      <c r="BZ102" s="145"/>
      <c r="CV102" s="15">
        <f t="shared" si="283"/>
        <v>0</v>
      </c>
      <c r="CY102" s="15">
        <f t="shared" si="284"/>
        <v>0</v>
      </c>
      <c r="DB102" s="15">
        <f t="shared" si="285"/>
        <v>0</v>
      </c>
      <c r="DE102" s="15">
        <f t="shared" si="286"/>
        <v>0</v>
      </c>
      <c r="DH102" s="15">
        <f t="shared" si="287"/>
        <v>0</v>
      </c>
      <c r="DK102" s="15">
        <f t="shared" si="288"/>
        <v>0</v>
      </c>
      <c r="DN102" s="15">
        <f t="shared" si="289"/>
        <v>0</v>
      </c>
      <c r="DQ102" s="15">
        <f t="shared" si="290"/>
        <v>0</v>
      </c>
      <c r="DU102" s="15">
        <v>0</v>
      </c>
      <c r="DW102" s="15">
        <v>0</v>
      </c>
      <c r="DX102" s="15">
        <f t="shared" si="291"/>
        <v>0</v>
      </c>
      <c r="DZ102" s="15">
        <v>0</v>
      </c>
      <c r="EA102" s="15">
        <f t="shared" si="292"/>
        <v>0</v>
      </c>
      <c r="EC102" s="15">
        <v>0</v>
      </c>
      <c r="ED102" s="15">
        <f t="shared" si="293"/>
        <v>0</v>
      </c>
      <c r="EF102" s="15">
        <v>0</v>
      </c>
      <c r="EG102" s="15">
        <f t="shared" si="294"/>
        <v>0</v>
      </c>
    </row>
    <row r="103" spans="1:142" outlineLevel="1">
      <c r="A103" s="1" t="s">
        <v>97</v>
      </c>
      <c r="B103" s="4" t="s">
        <v>48</v>
      </c>
      <c r="C103" s="4" t="s">
        <v>98</v>
      </c>
      <c r="D103" s="8">
        <v>50000</v>
      </c>
      <c r="E103" s="28">
        <v>2169</v>
      </c>
      <c r="F103" s="8">
        <v>50000</v>
      </c>
      <c r="G103" s="28">
        <v>2169</v>
      </c>
      <c r="H103" s="9">
        <v>1084500</v>
      </c>
      <c r="I103" s="14"/>
      <c r="J103" s="14"/>
      <c r="P103" s="15"/>
      <c r="Q103" s="15"/>
      <c r="X103" s="15"/>
      <c r="AF103" s="182"/>
      <c r="AJ103" s="182"/>
      <c r="BZ103" s="145"/>
      <c r="CV103" s="15">
        <f t="shared" si="283"/>
        <v>0</v>
      </c>
      <c r="CY103" s="15">
        <f t="shared" si="284"/>
        <v>0</v>
      </c>
      <c r="DB103" s="15">
        <f t="shared" si="285"/>
        <v>0</v>
      </c>
      <c r="DE103" s="15">
        <f t="shared" si="286"/>
        <v>0</v>
      </c>
      <c r="DH103" s="15">
        <f t="shared" si="287"/>
        <v>0</v>
      </c>
      <c r="DK103" s="15">
        <f t="shared" si="288"/>
        <v>0</v>
      </c>
      <c r="DN103" s="15">
        <f t="shared" si="289"/>
        <v>0</v>
      </c>
      <c r="DQ103" s="15">
        <f t="shared" si="290"/>
        <v>0</v>
      </c>
      <c r="DX103" s="15">
        <f t="shared" si="291"/>
        <v>0</v>
      </c>
      <c r="EA103" s="15">
        <f t="shared" si="292"/>
        <v>0</v>
      </c>
      <c r="ED103" s="15">
        <f t="shared" si="293"/>
        <v>0</v>
      </c>
      <c r="EG103" s="15">
        <f t="shared" si="294"/>
        <v>0</v>
      </c>
    </row>
    <row r="104" spans="1:142" outlineLevel="1">
      <c r="A104" s="10" t="s">
        <v>0</v>
      </c>
      <c r="P104" s="15"/>
      <c r="Q104" s="15"/>
      <c r="X104" s="15"/>
      <c r="AF104" s="182"/>
      <c r="AJ104" s="182"/>
      <c r="BZ104" s="145"/>
      <c r="CV104" s="15">
        <f t="shared" si="283"/>
        <v>0</v>
      </c>
      <c r="CY104" s="15">
        <f t="shared" si="284"/>
        <v>0</v>
      </c>
      <c r="DB104" s="15">
        <f t="shared" si="285"/>
        <v>0</v>
      </c>
      <c r="DE104" s="15">
        <f t="shared" si="286"/>
        <v>0</v>
      </c>
      <c r="DH104" s="15">
        <f t="shared" si="287"/>
        <v>0</v>
      </c>
      <c r="DK104" s="15">
        <f t="shared" si="288"/>
        <v>0</v>
      </c>
      <c r="DN104" s="15">
        <f t="shared" si="289"/>
        <v>0</v>
      </c>
      <c r="DQ104" s="15">
        <f t="shared" si="290"/>
        <v>0</v>
      </c>
      <c r="DX104" s="15">
        <f t="shared" si="291"/>
        <v>0</v>
      </c>
      <c r="EA104" s="15">
        <f t="shared" si="292"/>
        <v>0</v>
      </c>
      <c r="ED104" s="15">
        <f t="shared" si="293"/>
        <v>0</v>
      </c>
      <c r="EG104" s="15">
        <f t="shared" si="294"/>
        <v>0</v>
      </c>
    </row>
    <row r="105" spans="1:142" outlineLevel="1">
      <c r="A105" s="1" t="s">
        <v>99</v>
      </c>
      <c r="B105" s="1" t="s">
        <v>100</v>
      </c>
      <c r="C105" s="4" t="s">
        <v>101</v>
      </c>
      <c r="D105" s="8">
        <v>0</v>
      </c>
      <c r="E105" s="28">
        <v>0</v>
      </c>
      <c r="F105" s="8">
        <v>-1200</v>
      </c>
      <c r="G105" s="28">
        <v>100</v>
      </c>
      <c r="H105" s="9">
        <v>-1200</v>
      </c>
      <c r="I105" s="14">
        <v>-1200</v>
      </c>
      <c r="J105" s="14"/>
      <c r="L105" s="118">
        <v>0</v>
      </c>
      <c r="P105" s="15"/>
      <c r="Q105" s="15"/>
      <c r="X105" s="15"/>
      <c r="AF105" s="182"/>
      <c r="AJ105" s="182"/>
      <c r="BL105" s="15">
        <v>1281.0999999999999</v>
      </c>
      <c r="BS105" s="15">
        <f t="shared" ref="BS105" si="306">BO105+BR105</f>
        <v>0</v>
      </c>
      <c r="BV105" s="15">
        <f t="shared" ref="BV105" si="307">BS105+BU105</f>
        <v>0</v>
      </c>
      <c r="BY105" s="15">
        <f t="shared" ref="BY105" si="308">BV105+BX105</f>
        <v>0</v>
      </c>
      <c r="BZ105" s="145"/>
      <c r="CB105" s="15">
        <f t="shared" ref="CB105" si="309">BY105+CA105</f>
        <v>0</v>
      </c>
      <c r="CE105" s="15">
        <f t="shared" ref="CE105" si="310">CB105+CD105</f>
        <v>0</v>
      </c>
      <c r="CH105" s="15">
        <f t="shared" ref="CH105" si="311">CE105+CG105</f>
        <v>0</v>
      </c>
      <c r="CK105" s="15">
        <f t="shared" ref="CK105" si="312">CH105+CJ105</f>
        <v>0</v>
      </c>
      <c r="CN105" s="15">
        <f t="shared" ref="CN105" si="313">CK105+CM105</f>
        <v>0</v>
      </c>
      <c r="CR105" s="15">
        <v>0</v>
      </c>
      <c r="CV105" s="15">
        <f t="shared" si="283"/>
        <v>0</v>
      </c>
      <c r="CY105" s="15">
        <f t="shared" si="284"/>
        <v>0</v>
      </c>
      <c r="DB105" s="15">
        <f t="shared" si="285"/>
        <v>0</v>
      </c>
      <c r="DE105" s="15">
        <f t="shared" si="286"/>
        <v>0</v>
      </c>
      <c r="DH105" s="15">
        <f t="shared" si="287"/>
        <v>0</v>
      </c>
      <c r="DK105" s="15">
        <f t="shared" si="288"/>
        <v>0</v>
      </c>
      <c r="DN105" s="15">
        <f t="shared" si="289"/>
        <v>0</v>
      </c>
      <c r="DQ105" s="15">
        <f t="shared" si="290"/>
        <v>0</v>
      </c>
      <c r="DX105" s="15">
        <f t="shared" si="291"/>
        <v>0</v>
      </c>
      <c r="EA105" s="15">
        <f t="shared" si="292"/>
        <v>0</v>
      </c>
      <c r="ED105" s="15">
        <f t="shared" si="293"/>
        <v>0</v>
      </c>
      <c r="EG105" s="15">
        <f t="shared" si="294"/>
        <v>0</v>
      </c>
    </row>
    <row r="106" spans="1:142" outlineLevel="1">
      <c r="A106" s="1" t="s">
        <v>99</v>
      </c>
      <c r="B106" s="4" t="s">
        <v>46</v>
      </c>
      <c r="C106" s="4" t="s">
        <v>102</v>
      </c>
      <c r="D106" s="8">
        <v>0</v>
      </c>
      <c r="E106" s="28">
        <v>0</v>
      </c>
      <c r="F106" s="8">
        <v>-1200</v>
      </c>
      <c r="G106" s="28">
        <v>100</v>
      </c>
      <c r="H106" s="9">
        <v>-1200</v>
      </c>
      <c r="I106" s="14"/>
      <c r="J106" s="14"/>
      <c r="P106" s="15"/>
      <c r="Q106" s="15"/>
      <c r="X106" s="15"/>
      <c r="AF106" s="182"/>
      <c r="AJ106" s="182"/>
      <c r="BZ106" s="145"/>
    </row>
    <row r="107" spans="1:142" outlineLevel="1">
      <c r="A107" s="1" t="s">
        <v>103</v>
      </c>
      <c r="B107" s="4" t="s">
        <v>48</v>
      </c>
      <c r="C107" s="4" t="s">
        <v>104</v>
      </c>
      <c r="D107" s="8">
        <v>0</v>
      </c>
      <c r="E107" s="28">
        <v>0</v>
      </c>
      <c r="F107" s="8">
        <v>-1200</v>
      </c>
      <c r="G107" s="28">
        <v>100</v>
      </c>
      <c r="H107" s="9">
        <v>-1200</v>
      </c>
      <c r="I107" s="14"/>
      <c r="J107" s="14"/>
      <c r="P107" s="15"/>
      <c r="Q107" s="15"/>
      <c r="X107" s="15"/>
      <c r="AF107" s="182"/>
      <c r="AJ107" s="182"/>
      <c r="BZ107" s="145"/>
    </row>
    <row r="108" spans="1:142" outlineLevel="1">
      <c r="A108" s="10" t="s">
        <v>0</v>
      </c>
      <c r="P108" s="15"/>
      <c r="Q108" s="15"/>
      <c r="X108" s="15"/>
      <c r="AF108" s="182"/>
      <c r="AJ108" s="182"/>
      <c r="BZ108" s="145"/>
    </row>
    <row r="109" spans="1:142" outlineLevel="1">
      <c r="A109" s="445" t="s">
        <v>105</v>
      </c>
      <c r="B109" s="444"/>
      <c r="C109" s="446"/>
      <c r="D109" s="8">
        <v>5707000</v>
      </c>
      <c r="E109" s="28">
        <v>109.84</v>
      </c>
      <c r="F109" s="8">
        <v>5936574.3399999999</v>
      </c>
      <c r="G109" s="28">
        <v>105.59</v>
      </c>
      <c r="H109" s="9">
        <v>6268720.0999999996</v>
      </c>
      <c r="I109" s="14"/>
      <c r="J109" s="14"/>
      <c r="P109" s="15"/>
      <c r="Q109" s="15"/>
      <c r="X109" s="15"/>
      <c r="AF109" s="182"/>
      <c r="AJ109" s="182"/>
      <c r="BZ109" s="145"/>
    </row>
    <row r="110" spans="1:142" outlineLevel="1">
      <c r="P110" s="15"/>
      <c r="Q110" s="15"/>
      <c r="X110" s="15"/>
      <c r="AF110" s="182"/>
      <c r="AJ110" s="182"/>
      <c r="BZ110" s="145"/>
    </row>
    <row r="111" spans="1:142" ht="15.75" thickBot="1">
      <c r="A111" s="24"/>
      <c r="B111" s="25" t="s">
        <v>268</v>
      </c>
      <c r="C111" s="25" t="s">
        <v>315</v>
      </c>
      <c r="D111" s="22">
        <f>D105+D95+D83+D82+D81+D80+D79+D65+D61+D38+D35</f>
        <v>193900</v>
      </c>
      <c r="E111" s="30"/>
      <c r="F111" s="22">
        <f>F105+F95+F83+F82+F81+F80+F79+F65+F61+F38+F35</f>
        <v>209200</v>
      </c>
      <c r="G111" s="30"/>
      <c r="H111" s="22"/>
      <c r="I111" s="22">
        <f>I105+I95+I83+I82+I81+I80+I79+I65+I61+I38+I35</f>
        <v>219557.47466666665</v>
      </c>
      <c r="J111" s="22"/>
      <c r="K111" s="20"/>
      <c r="L111" s="166">
        <f>L105+L95+L83+L82+L81+L80+L79+L65+L61+L38+L35</f>
        <v>241200</v>
      </c>
      <c r="M111" s="23">
        <f>L111/F111-1</f>
        <v>0.15296367112810705</v>
      </c>
      <c r="N111" s="23">
        <f>L111/I111-1</f>
        <v>9.857339344147209E-2</v>
      </c>
      <c r="P111" s="144">
        <f>L111</f>
        <v>241200</v>
      </c>
      <c r="Q111" s="148"/>
      <c r="U111" s="166">
        <f>U105+U95+U83+U82+U81+U80+U79+U65+U61+U38+U35</f>
        <v>230500</v>
      </c>
      <c r="X111" s="22">
        <f>X105+X95+X83+X82+X81+X80+X79+X65+X61+X38+X35</f>
        <v>230500</v>
      </c>
      <c r="Z111" s="22">
        <f>Z105+Z95+Z83+Z82+Z81+Z80+Z79+Z65+Z61+Z38+Z35+Z74+Z84</f>
        <v>240800</v>
      </c>
      <c r="AD111" s="22">
        <f>AD105+AD95+AD83+AD82+AD81+AD80+AD79+AD65+AD61+AD38+AD35+AD74+AD84</f>
        <v>240800</v>
      </c>
      <c r="AF111" s="182"/>
      <c r="AH111" s="22">
        <f>AH105+AH95+AH83+AH82+AH81+AH80+AH79+AH65+AH61+AH38+AH35+AH74+AH84</f>
        <v>240800</v>
      </c>
      <c r="AJ111" s="182"/>
      <c r="AL111" s="144">
        <f>AL105+AL95+AL83+AL82+AL81+AL80+AL79+AL65+AL61+AL38+AL35+AL74+AL84</f>
        <v>219140.41</v>
      </c>
      <c r="AN111" s="144">
        <f>AN105+AN95+AN83+AN82+AN81+AN80+AN79+AN65+AN61+AN38+AN35+AN74+AN84</f>
        <v>203000</v>
      </c>
      <c r="AO111" s="17">
        <f t="shared" ref="AO111" si="314">AN111/L111-1</f>
        <v>-0.15837479270315091</v>
      </c>
      <c r="AP111" s="17">
        <f t="shared" ref="AP111" si="315">AN111/AH111-1</f>
        <v>-0.15697674418604646</v>
      </c>
      <c r="AQ111" s="17">
        <f t="shared" ref="AQ111" si="316">AN111/AL111-1</f>
        <v>-7.365328010475114E-2</v>
      </c>
      <c r="AZ111" s="144">
        <f>AZ105+AZ95+AZ83+AZ82+AZ81+AZ80+AZ79+AZ65+AZ61+AZ38+AZ35+AZ74+AZ84</f>
        <v>0</v>
      </c>
      <c r="BA111" s="144">
        <f>BA105+BA95+BA83+BA82+BA81+BA80+BA79+BA65+BA61+BA38+BA35+BA74+BA84</f>
        <v>203000</v>
      </c>
      <c r="BD111" s="144">
        <f>BD105+BD95+BD83+BD82+BD81+BD80+BD79+BD65+BD61+BD38+BD35+BD74+BD84</f>
        <v>203000</v>
      </c>
      <c r="BG111" s="144">
        <f>BG105+BG95+BG83+BG82+BG81+BG80+BG79+BG65+BG61+BG38+BG35+BG74+BG84</f>
        <v>203000</v>
      </c>
      <c r="BI111" s="144">
        <f>BI105+BI95+BI83+BI82+BI81+BI80+BI79+BI65+BI61+BI38+BI35+BI74+BI84+BI66+BI96</f>
        <v>87800</v>
      </c>
      <c r="BJ111" s="144">
        <f>BJ105+BJ95+BJ83+BJ82+BJ81+BJ80+BJ79+BJ65+BJ61+BJ38+BJ35+BJ74+BJ84+BJ66+BJ96</f>
        <v>290800</v>
      </c>
      <c r="BL111" s="144">
        <f>BL105+BL95+BL83+BL82+BL81+BL80+BL79+BL65+BL61+BL38+BL35+BL74+BL84+BL66+BL96</f>
        <v>265528.33</v>
      </c>
      <c r="BM111" s="240">
        <f>BL111/BJ111</f>
        <v>0.91309604539202205</v>
      </c>
      <c r="BO111" s="165">
        <f>BO105+BO95+BO83+BO82+BO81+BO80+BO79+BO65+BO61+BO38+BO35+BO74+BO84+BO66+BO96+BO57</f>
        <v>514500</v>
      </c>
      <c r="BP111" s="240">
        <f>BO111/BL111</f>
        <v>1.9376463520860465</v>
      </c>
      <c r="BR111" s="165">
        <f>BR105+BR95+BR83+BR82+BR81+BR80+BR79+BR65+BR61+BR38+BR35+BR74+BR84+BR66+BR96+BR57+BR86</f>
        <v>28140</v>
      </c>
      <c r="BS111" s="165">
        <f>BS105+BS95+BS83+BS82+BS81+BS80+BS79+BS65+BS61+BS38+BS35+BS74+BS84+BS66+BS96+BS57+BS86</f>
        <v>542640</v>
      </c>
      <c r="BU111" s="165">
        <f>BU105+BU95+BU83+BU82+BU81+BU80+BU79+BU65+BU61+BU38+BU35+BU74+BU84+BU66+BU96+BU57+BU86</f>
        <v>80000</v>
      </c>
      <c r="BV111" s="165">
        <f>BV105+BV95+BV83+BV82+BV81+BV80+BV79+BV65+BV61+BV38+BV35+BV74+BV84+BV66+BV96+BV57+BV86</f>
        <v>622640</v>
      </c>
      <c r="BX111" s="165">
        <f>BX105+BX95+BX83+BX82+BX81+BX80+BX79+BX65+BX61+BX38+BX35+BX74+BX84+BX66+BX96+BX57+BX86</f>
        <v>0</v>
      </c>
      <c r="BY111" s="165">
        <f>BY105+BY95+BY83+BY82+BY81+BY80+BY79+BY65+BY61+BY38+BY35+BY74+BY84+BY66+BY96+BY57+BY86</f>
        <v>622640</v>
      </c>
      <c r="BZ111" s="145"/>
      <c r="CA111" s="319">
        <f>CA105+CA95+CA83+CA82+CA81+CA80+CA79+CA65+CA61+CA38+CA35+CA74+CA84+CA66+CA96+CA57+CA86</f>
        <v>0</v>
      </c>
      <c r="CB111" s="165">
        <f>CB105+CB95+CB83+CB82+CB81+CB80+CB79+CB65+CB61+CB38+CB35+CB74+CB84+CB66+CB96+CB57+CB86</f>
        <v>622640</v>
      </c>
      <c r="CD111" s="165">
        <f>CD105+CD95+CD83+CD82+CD81+CD80+CD79+CD65+CD61+CD38+CD35+CD74+CD84+CD66+CD96+CD57+CD86</f>
        <v>0</v>
      </c>
      <c r="CE111" s="165">
        <f>CE105+CE95+CE83+CE82+CE81+CE80+CE79+CE65+CE61+CE38+CE35+CE74+CE84+CE66+CE96+CE57+CE86</f>
        <v>622640</v>
      </c>
      <c r="CG111" s="165">
        <f>CG105+CG95+CG83+CG82+CG81+CG80+CG79+CG65+CG61+CG38+CG35+CG74+CG84+CG66+CG96+CG57+CG86</f>
        <v>0</v>
      </c>
      <c r="CH111" s="165">
        <f>CH105+CH95+CH83+CH82+CH81+CH80+CH79+CH65+CH61+CH38+CH35+CH74+CH84+CH66+CH96+CH57+CH86</f>
        <v>622640</v>
      </c>
      <c r="CJ111" s="165">
        <f>CJ105+CJ95+CJ83+CJ82+CJ81+CJ80+CJ79+CJ65+CJ61+CJ38+CJ35+CJ74+CJ84+CJ66+CJ96+CJ57+CJ86</f>
        <v>-29000</v>
      </c>
      <c r="CK111" s="165">
        <f>CK105+CK95+CK83+CK82+CK81+CK80+CK79+CK65+CK61+CK38+CK35+CK74+CK84+CK66+CK96+CK57+CK86</f>
        <v>593640</v>
      </c>
      <c r="CM111" s="165">
        <f>CM105+CM95+CM83+CM82+CM81+CM80+CM79+CM65+CM61+CM38+CM35+CM74+CM84+CM66+CM96+CM57+CM86</f>
        <v>0</v>
      </c>
      <c r="CN111" s="165">
        <f>CN105+CN95+CN83+CN82+CN81+CN80+CN79+CN65+CN61+CN38+CN35+CN74+CN84+CN66+CN96+CN57+CN86</f>
        <v>593640</v>
      </c>
      <c r="CP111" s="165">
        <f>CP105+CP95+CP83+CP82+CP81+CP80+CP79+CP65+CP61+CP38+CP35+CP74+CP84+CP66+CP96+CP57+CP86</f>
        <v>435708.33</v>
      </c>
      <c r="CR111" s="165">
        <f>CR105+CR95+CR83+CR82+CR81+CR80+CR79+CR65+CR61+CR38+CR35+CR74+CR84+CR66+CR96+CR57+CR86</f>
        <v>514800</v>
      </c>
      <c r="CS111" s="240">
        <f>CR111/CP111</f>
        <v>1.1815243468032846</v>
      </c>
      <c r="CU111" s="165">
        <f>CU105+CU95+CU83+CU82+CU81+CU80+CU79+CU65+CU61+CU38+CU35+CU74+CU84+CU66+CU96+CU57+CU86</f>
        <v>-150000</v>
      </c>
      <c r="CV111" s="165">
        <f>CV105+CV95+CV83+CV82+CV81+CV80+CV79+CV65+CV61+CV38+CV35+CV74+CV84+CV66+CV96+CV57+CV86</f>
        <v>364800</v>
      </c>
      <c r="CX111" s="165">
        <f>CX105+CX95+CX83+CX82+CX81+CX80+CX79+CX65+CX61+CX38+CX35+CX74+CX84+CX66+CX96+CX57+CX86</f>
        <v>13000</v>
      </c>
      <c r="CY111" s="165">
        <f>CY105+CY95+CY83+CY82+CY81+CY80+CY79+CY65+CY61+CY38+CY35+CY74+CY84+CY66+CY96+CY57+CY86</f>
        <v>377800</v>
      </c>
      <c r="DA111" s="165">
        <f>DA105+DA95+DA83+DA82+DA81+DA80+DA79+DA65+DA61+DA38+DA35+DA74+DA84+DA66+DA96+DA57+DA86+DA75</f>
        <v>249450</v>
      </c>
      <c r="DB111" s="165">
        <f>DB105+DB95+DB83+DB82+DB81+DB80+DB79+DB65+DB61+DB38+DB35+DB74+DB84+DB66+DB96+DB57+DB86+DB75</f>
        <v>627250</v>
      </c>
      <c r="DD111" s="165">
        <f>DD105+DD95+DD83+DD82+DD81+DD80+DD79+DD65+DD61+DD38+DD35+DD74+DD84+DD66+DD96+DD57+DD86+DD75+DD48+DD67</f>
        <v>16500</v>
      </c>
      <c r="DE111" s="165">
        <f>DE105+DE95+DE83+DE82+DE81+DE80+DE79+DE65+DE61+DE38+DE35+DE74+DE84+DE66+DE96+DE57+DE86+DE75+DE48+DE67</f>
        <v>643750</v>
      </c>
      <c r="DG111" s="165">
        <f>DG105+DG95+DG83+DG82+DG81+DG80+DG79+DG65+DG61+DG38+DG35+DG74+DG84+DG66+DG96+DG57+DG86+DG75+DG48+DG67+DG49</f>
        <v>155000</v>
      </c>
      <c r="DH111" s="165">
        <f>DH105+DH95+DH83+DH82+DH81+DH80+DH79+DH65+DH61+DH38+DH35+DH74+DH84+DH66+DH96+DH57+DH86+DH75+DH48+DH67+DH49</f>
        <v>798750</v>
      </c>
      <c r="DJ111" s="165">
        <f>DJ105+DJ95+DJ83+DJ82+DJ81+DJ80+DJ79+DJ65+DJ61+DJ38+DJ35+DJ74+DJ84+DJ66+DJ96+DJ57+DJ86+DJ75+DJ48+DJ67+DJ49</f>
        <v>15000</v>
      </c>
      <c r="DK111" s="165">
        <f>DK105+DK95+DK83+DK82+DK81+DK80+DK79+DK65+DK61+DK38+DK35+DK74+DK84+DK66+DK96+DK57+DK86+DK75+DK48+DK67+DK49</f>
        <v>813750</v>
      </c>
      <c r="DM111" s="165">
        <f>DM105+DM95+DM83+DM82+DM81+DM80+DM79+DM65+DM61+DM38+DM35+DM74+DM84+DM66+DM96+DM57+DM86+DM75+DM48+DM67+DM49+DM73</f>
        <v>8000</v>
      </c>
      <c r="DN111" s="165">
        <f>DN105+DN95+DN83+DN82+DN81+DN80+DN79+DN65+DN61+DN38+DN35+DN74+DN84+DN66+DN96+DN57+DN86+DN75+DN48+DN67+DN49+DN73</f>
        <v>821750</v>
      </c>
      <c r="DP111" s="165">
        <f>DP105+DP95+DP83+DP82+DP81+DP80+DP79+DP65+DP61+DP38+DP35+DP74+DP84+DP66+DP96+DP57+DP86+DP75+DP48+DP67+DP49+DP73</f>
        <v>0</v>
      </c>
      <c r="DQ111" s="165">
        <f>DQ105+DQ95+DQ83+DQ82+DQ81+DQ80+DQ79+DQ65+DQ61+DQ38+DQ35+DQ74+DQ84+DQ66+DQ96+DQ57+DQ86+DQ75+DQ48+DQ67+DQ49+DQ73</f>
        <v>821750</v>
      </c>
      <c r="DS111" s="165">
        <f>DS105+DS95+DS83+DS82+DS81+DS80+DS79+DS65+DS61+DS38+DS35+DS74+DS84+DS66+DS96+DS57+DS86+DS75+DS48+DS67+DS49+DS73</f>
        <v>801065.93</v>
      </c>
      <c r="DU111" s="165">
        <f>DU105+DU95+DU83+DU82+DU81+DU80+DU79+DU65+DU61+DU38+DU35+DU74+DU84+DU66+DU96+DU57+DU86+DU75+DU48+DU67+DU49+DU73+DU39</f>
        <v>430400</v>
      </c>
      <c r="DW111" s="165">
        <f>DW105+DW95+DW83+DW82+DW81+DW80+DW79+DW65+DW61+DW38+DW35+DW74+DW84+DW66+DW96+DW57+DW86+DW75+DW48+DW67+DW49+DW73</f>
        <v>0</v>
      </c>
      <c r="DX111" s="165">
        <f>DX105+DX95+DX83+DX82+DX81+DX80+DX79+DX65+DX61+DX38+DX35+DX74+DX84+DX66+DX96+DX57+DX86+DX75+DX48+DX67+DX49+DX73+DX39</f>
        <v>430400</v>
      </c>
      <c r="DZ111" s="165">
        <f>DZ105+DZ95+DZ83+DZ82+DZ81+DZ80+DZ79+DZ65+DZ61+DZ38+DZ35+DZ74+DZ84+DZ66+DZ96+DZ57+DZ86+DZ75+DZ48+DZ67+DZ49+DZ73+DZ77+DZ52+DZ46+DZ43+DZ39</f>
        <v>283820</v>
      </c>
      <c r="EA111" s="165">
        <f>EA105+EA95+EA83+EA82+EA81+EA80+EA79+EA65+EA61+EA38+EA35+EA74+EA84+EA66+EA96+EA57+EA86+EA75+EA48+EA67+EA49+EA73+EA77+EA52+EA46+EA43+EA39</f>
        <v>714220</v>
      </c>
      <c r="EC111" s="165">
        <f>EC105+EC95+EC83+EC82+EC81+EC80+EC79+EC65+EC61+EC38+EC35+EC74+EC84+EC66+EC96+EC57+EC86+EC75+EC48+EC67+EC49+EC73+EC77+EC52+EC46+EC43+EC39</f>
        <v>0</v>
      </c>
      <c r="ED111" s="165">
        <f>ED105+ED95+ED83+ED82+ED81+ED80+ED79+ED65+ED61+ED38+ED35+ED74+ED84+ED66+ED96+ED57+ED86+ED75+ED48+ED67+ED49+ED73+ED77+ED52+ED46+ED43+ED39</f>
        <v>714220</v>
      </c>
      <c r="EF111" s="165">
        <f>EF105+EF95+EF83+EF82+EF81+EF80+EF79+EF65+EF61+EF38+EF35+EF74+EF84+EF66+EF96+EF57+EF86+EF75+EF48+EF67+EF49+EF73+EF85+EF72+EF51+EF52+EF46+EF43+EF39</f>
        <v>-24610</v>
      </c>
      <c r="EG111" s="165">
        <f>EG105+EG95+EG83+EG82+EG81+EG80+EG79+EG65+EG61+EG38+EG35+EG74+EG84+EG66+EG96+EG57+EG86+EG75+EG48+EG67+EG49+EG73+EG77+EG52+EG46+EG43+EG39</f>
        <v>689610</v>
      </c>
      <c r="EI111" s="165">
        <f>EI105+EI95+EI83+EI82+EI81+EI80+EI79+EI65+EI61+EI38+EI35+EI74+EI84+EI66+EI96+EI57+EI86+EI75+EI48+EI67+EI49+EI73+EI85+EI72+EI51+EI52+EI46+EI43+EI39+EI77</f>
        <v>792358.71</v>
      </c>
      <c r="EK111" s="165">
        <f>EK105+EK95+EK83+EK82+EK81+EK80+EK79+EK65+EK61+EK38+EK35+EK74+EK84+EK66+EK96+EK57+EK86+EK75+EK48+EK67+EK49+EK73+EK85+EK72+EK51+EK52+EK46+EK43+EK39+EK54</f>
        <v>710800</v>
      </c>
      <c r="EL111" s="235">
        <f t="shared" ref="EL111" si="317">EK111/EI111</f>
        <v>0.89706845022250092</v>
      </c>
    </row>
    <row r="112" spans="1:142" ht="16.5" thickTop="1" thickBot="1">
      <c r="AF112" s="182"/>
      <c r="AJ112" s="182"/>
      <c r="BS112" s="15"/>
      <c r="BV112" s="15"/>
      <c r="BY112" s="15"/>
      <c r="BZ112" s="145"/>
      <c r="CB112" s="15"/>
      <c r="CE112" s="15"/>
      <c r="CH112" s="15"/>
      <c r="CK112" s="15"/>
      <c r="CN112" s="15"/>
      <c r="CV112" s="15"/>
      <c r="CY112" s="15"/>
      <c r="DB112" s="15"/>
      <c r="DE112" s="15"/>
      <c r="DH112" s="15"/>
      <c r="DK112" s="15"/>
      <c r="DN112" s="15"/>
      <c r="DQ112" s="15"/>
      <c r="DX112" s="15"/>
      <c r="EA112" s="15"/>
      <c r="ED112" s="15"/>
      <c r="EG112" s="15"/>
    </row>
    <row r="113" spans="1:142" ht="15.75" thickBot="1">
      <c r="A113" s="133"/>
      <c r="B113" s="133"/>
      <c r="C113" s="133" t="s">
        <v>385</v>
      </c>
      <c r="D113" s="134">
        <f>D22+D33+D89+D111</f>
        <v>5707000</v>
      </c>
      <c r="E113" s="135"/>
      <c r="F113" s="134">
        <f>F22+F33+F89+F111</f>
        <v>5936574.3399999999</v>
      </c>
      <c r="G113" s="135"/>
      <c r="H113" s="133"/>
      <c r="I113" s="134">
        <f>I22+I33+I89+I111</f>
        <v>7115505.2846666668</v>
      </c>
      <c r="J113" s="133"/>
      <c r="K113" s="136"/>
      <c r="L113" s="174">
        <f>L22+L33+L89+L111</f>
        <v>5291000</v>
      </c>
      <c r="M113" s="137">
        <f>L113/F113-1</f>
        <v>-0.10874526334997425</v>
      </c>
      <c r="N113" s="137">
        <f>L113/I113-1</f>
        <v>-0.25641261044360786</v>
      </c>
      <c r="P113" s="134">
        <f>P22+P33+P89+P111</f>
        <v>4956950</v>
      </c>
      <c r="Q113" s="149"/>
      <c r="R113" s="143">
        <f>P113-L113</f>
        <v>-334050</v>
      </c>
      <c r="U113" s="174">
        <f>U22+U33+U89+U111</f>
        <v>5140800</v>
      </c>
      <c r="X113" s="134">
        <f>X22+X33+X89+X111</f>
        <v>5620550</v>
      </c>
      <c r="Z113" s="134">
        <f>Z22+Z33+Z89+Z111</f>
        <v>5926760</v>
      </c>
      <c r="AD113" s="134">
        <f>AD22+AD33+AD89+AD111</f>
        <v>5990340</v>
      </c>
      <c r="AF113" s="182">
        <f t="shared" ref="AF113" si="318">AD113-Z113</f>
        <v>63580</v>
      </c>
      <c r="AH113" s="134">
        <f>AH22+AH33+AH89+AH111</f>
        <v>6235240</v>
      </c>
      <c r="AJ113" s="182">
        <f t="shared" ref="AJ113" si="319">AH113-AD113</f>
        <v>244900</v>
      </c>
      <c r="AL113" s="136">
        <f>AL22+AL33+AL89+AL111</f>
        <v>6200517.1000000006</v>
      </c>
      <c r="AN113" s="136">
        <f>AN22+AN33+AN89+AN111</f>
        <v>4392000</v>
      </c>
      <c r="AO113" s="17">
        <f t="shared" ref="AO113" si="320">AN113/L113-1</f>
        <v>-0.16991116991116995</v>
      </c>
      <c r="AP113" s="17">
        <f t="shared" ref="AP113" si="321">AN113/AH113-1</f>
        <v>-0.29561652799250715</v>
      </c>
      <c r="AQ113" s="17">
        <f t="shared" ref="AQ113" si="322">AN113/AL113-1</f>
        <v>-0.29167198006759798</v>
      </c>
      <c r="AZ113" s="136">
        <f>AZ22+AZ33+AZ89+AZ111</f>
        <v>211541.07</v>
      </c>
      <c r="BA113" s="136">
        <f>BA22+BA33+BA89+BA111</f>
        <v>4603541.07</v>
      </c>
      <c r="BC113" s="136">
        <f>BC22+BC33+BC89+BC111</f>
        <v>0</v>
      </c>
      <c r="BD113" s="136">
        <f>BD22+BD33+BD89+BD111</f>
        <v>4603541.07</v>
      </c>
      <c r="BF113" s="136">
        <f>BF22+BF33+BF89+BF111</f>
        <v>49297.26</v>
      </c>
      <c r="BG113" s="136">
        <f>BG22+BG33+BG89+BG111</f>
        <v>4652838.33</v>
      </c>
      <c r="BI113" s="136">
        <f>BI22+BI33+BI89+BI111</f>
        <v>1092487.9100000001</v>
      </c>
      <c r="BJ113" s="136">
        <f>BJ22+BJ33+BJ89+BJ111</f>
        <v>5745326.2400000002</v>
      </c>
      <c r="BL113" s="136">
        <f>BL22+BL33+BL89+BL111</f>
        <v>5905051.04</v>
      </c>
      <c r="BM113" s="241">
        <f>BL113/BJ113</f>
        <v>1.0278008233697795</v>
      </c>
      <c r="BO113" s="136">
        <f>BO22+BO33+BO89+BO111</f>
        <v>7206500</v>
      </c>
      <c r="BP113" s="241">
        <f>BO113/BL113</f>
        <v>1.2203958867051554</v>
      </c>
      <c r="BR113" s="136">
        <f>BR22+BR33+BR89+BR111</f>
        <v>170366.07</v>
      </c>
      <c r="BS113" s="136">
        <f>BS22+BS33+BS89+BS111</f>
        <v>7376866.0700000003</v>
      </c>
      <c r="BU113" s="136">
        <f>BU22+BU33+BU89+BU111</f>
        <v>168974</v>
      </c>
      <c r="BV113" s="136">
        <f>BV22+BV33+BV89+BV111</f>
        <v>7545840.0700000003</v>
      </c>
      <c r="BX113" s="136">
        <f>BX22+BX33+BX89+BX111</f>
        <v>241888.89</v>
      </c>
      <c r="BY113" s="136">
        <f>BY22+BY33+BY89+BY111</f>
        <v>7787728.96</v>
      </c>
      <c r="BZ113" s="145"/>
      <c r="CA113" s="333">
        <f>CA22+CA33+CA89+CA111</f>
        <v>0</v>
      </c>
      <c r="CB113" s="136">
        <f>CB22+CB33+CB89+CB111</f>
        <v>7787728.96</v>
      </c>
      <c r="CD113" s="136">
        <f>CD22+CD33+CD89+CD111</f>
        <v>152000</v>
      </c>
      <c r="CE113" s="136">
        <f>CE22+CE33+CE89+CE111</f>
        <v>7939728.96</v>
      </c>
      <c r="CG113" s="136">
        <f>CG22+CG33+CG89+CG111</f>
        <v>0</v>
      </c>
      <c r="CH113" s="136">
        <f>CH22+CH33+CH89+CH111</f>
        <v>7939728.96</v>
      </c>
      <c r="CJ113" s="136">
        <f>CJ22+CJ33+CJ89+CJ111</f>
        <v>102500</v>
      </c>
      <c r="CK113" s="136">
        <f>CK22+CK33+CK89+CK111</f>
        <v>8042228.96</v>
      </c>
      <c r="CM113" s="136">
        <f>CM22+CM33+CM89+CM111</f>
        <v>-241741.08</v>
      </c>
      <c r="CN113" s="136">
        <f>CN22+CN33+CN89+CN111</f>
        <v>7800487.8799999999</v>
      </c>
      <c r="CP113" s="136">
        <f>CP22+CP33+CP89+CP111</f>
        <v>7595604.9400000004</v>
      </c>
      <c r="CR113" s="136">
        <f>CR22+CR33+CR89+CR111</f>
        <v>7036388.8899999997</v>
      </c>
      <c r="CS113" s="241">
        <f>CR113/CP113</f>
        <v>0.92637636443477267</v>
      </c>
      <c r="CU113" s="136">
        <f>CU22+CU33+CU89+CU111</f>
        <v>0</v>
      </c>
      <c r="CV113" s="136">
        <f>CV22+CV33+CV89+CV111</f>
        <v>7036388.8899999997</v>
      </c>
      <c r="CX113" s="136">
        <f>CX22+CX33+CX89+CX111</f>
        <v>142761</v>
      </c>
      <c r="CY113" s="136">
        <f>CY22+CY33+CY89+CY111</f>
        <v>7179149.8899999997</v>
      </c>
      <c r="DA113" s="136">
        <f>DA22+DA33+DA89+DA111</f>
        <v>1245134</v>
      </c>
      <c r="DB113" s="136">
        <f>DB22+DB33+DB89+DB111</f>
        <v>8424283.8900000006</v>
      </c>
      <c r="DD113" s="136">
        <f>DD22+DD33+DD89+DD111</f>
        <v>138000</v>
      </c>
      <c r="DE113" s="136">
        <f>DE22+DE33+DE89+DE111</f>
        <v>8562283.8900000006</v>
      </c>
      <c r="DG113" s="136">
        <f>DG22+DG33+DG89+DG111</f>
        <v>177000</v>
      </c>
      <c r="DH113" s="136">
        <f>DH22+DH33+DH89+DH111</f>
        <v>8739283.8900000006</v>
      </c>
      <c r="DJ113" s="136">
        <f>DJ22+DJ33+DJ89+DJ111</f>
        <v>135000</v>
      </c>
      <c r="DK113" s="136">
        <f>DK22+DK33+DK89+DK111</f>
        <v>8874283.8900000006</v>
      </c>
      <c r="DM113" s="136">
        <f>DM22+DM33+DM89+DM111</f>
        <v>-81700</v>
      </c>
      <c r="DN113" s="136">
        <f>DN22+DN33+DN89+DN111</f>
        <v>8792583.8900000006</v>
      </c>
      <c r="DP113" s="136">
        <f>DP22+DP33+DP89+DP111</f>
        <v>0</v>
      </c>
      <c r="DQ113" s="136">
        <f>DQ22+DQ33+DQ89+DQ111</f>
        <v>8792041.8900000006</v>
      </c>
      <c r="DS113" s="136">
        <f>DS22+DS33+DS89+DS111</f>
        <v>8910928.7300000004</v>
      </c>
      <c r="DU113" s="136">
        <f>DU22+DU33+DU89+DU111</f>
        <v>7413100</v>
      </c>
      <c r="DW113" s="136">
        <f>DW22+DW33+DW89+DW111</f>
        <v>63080</v>
      </c>
      <c r="DX113" s="136">
        <f>DX22+DX33+DX89+DX111</f>
        <v>7476180</v>
      </c>
      <c r="DZ113" s="136">
        <f>DZ22+DZ33+DZ89+DZ111</f>
        <v>360820</v>
      </c>
      <c r="EA113" s="136">
        <f>EA22+EA33+EA89+EA111</f>
        <v>7837000</v>
      </c>
      <c r="EC113" s="136">
        <f>EC22+EC33+EC89+EC111</f>
        <v>48000</v>
      </c>
      <c r="ED113" s="136">
        <f>ED22+ED33+ED89+ED111</f>
        <v>7885000</v>
      </c>
      <c r="EF113" s="136">
        <f>EF22+EF33+EF89+EF111</f>
        <v>-67539</v>
      </c>
      <c r="EG113" s="136">
        <f>EG22+EG33+EG89+EG111</f>
        <v>7817461</v>
      </c>
      <c r="EI113" s="136">
        <f>EI22+EI33+EI89+EI111</f>
        <v>7705649.9400000004</v>
      </c>
      <c r="EK113" s="136">
        <f>EK22+EK33+EK89+EK111</f>
        <v>7536900</v>
      </c>
      <c r="EL113" s="235">
        <f t="shared" ref="EL113" si="323">EK113/EI113</f>
        <v>0.97810049232524565</v>
      </c>
    </row>
    <row r="114" spans="1:142" ht="15.75" thickTop="1">
      <c r="AB114" s="118">
        <f>SUM(AB5:AB113)</f>
        <v>306210</v>
      </c>
      <c r="AC114" s="118"/>
      <c r="AE114" s="118"/>
      <c r="AF114" s="183">
        <f>SUM(AF5:AF110)</f>
        <v>63580</v>
      </c>
      <c r="AG114" s="118"/>
      <c r="AI114" s="118"/>
      <c r="AJ114" s="183">
        <f>SUM(AJ5:AJ110)</f>
        <v>244900</v>
      </c>
      <c r="BS114" s="15"/>
      <c r="BV114" s="15"/>
      <c r="BY114" s="15"/>
      <c r="BZ114" s="145"/>
      <c r="CB114" s="15"/>
      <c r="CE114" s="15"/>
      <c r="CH114" s="15"/>
      <c r="CK114" s="15"/>
      <c r="CN114" s="15"/>
      <c r="CV114" s="15"/>
      <c r="CY114" s="15"/>
      <c r="DB114" s="15"/>
      <c r="DE114" s="15"/>
      <c r="DH114" s="15"/>
      <c r="DK114" s="15"/>
      <c r="DN114" s="15"/>
      <c r="DQ114" s="15"/>
      <c r="DX114" s="15"/>
      <c r="EA114" s="15"/>
      <c r="ED114" s="15"/>
      <c r="EG114" s="15"/>
    </row>
    <row r="115" spans="1:142" ht="15.75" thickBot="1">
      <c r="C115" t="s">
        <v>459</v>
      </c>
      <c r="L115" s="15">
        <f>L5+L6+L7+L8+L9+L10+L16+L18+L21</f>
        <v>4764000</v>
      </c>
      <c r="AH115" s="15">
        <f>AH5+AH6+AH7+AH8+AH9+AH10+AH16+AH18+AH21</f>
        <v>4408100</v>
      </c>
      <c r="AL115" s="15">
        <f>AL5+AL6+AL7+AL8+AL9+AL10+AL16+AL18+AL21</f>
        <v>4406753.6599999992</v>
      </c>
      <c r="AN115" s="15">
        <f>AN5+AN6+AN7+AN8+AN9+AN10+AN16+AN18+AN21</f>
        <v>3892000</v>
      </c>
      <c r="AO115" s="17">
        <f t="shared" ref="AO115" si="324">AN115/L115-1</f>
        <v>-0.18303946263644</v>
      </c>
      <c r="AP115" s="17">
        <f t="shared" ref="AP115" si="325">AN115/AH115-1</f>
        <v>-0.11707992105442255</v>
      </c>
      <c r="AQ115" s="17">
        <f t="shared" ref="AQ115" si="326">AN115/AL115-1</f>
        <v>-0.11681017359159562</v>
      </c>
      <c r="AZ115" s="15">
        <f>AZ5+AZ6+AZ7+AZ8+AZ9+AZ10+AZ16+AZ18+AZ21</f>
        <v>0</v>
      </c>
      <c r="BA115" s="15">
        <f>BA5+BA6+BA7+BA8+BA9+BA10+BA16+BA18+BA21</f>
        <v>3892000</v>
      </c>
      <c r="BD115" s="15">
        <f>BD5+BD6+BD7+BD8+BD9+BD10+BD16+BD18+BD21</f>
        <v>3892000</v>
      </c>
      <c r="BG115" s="15">
        <f>BG5+BG6+BG7+BG8+BG9+BG10+BG16+BG18+BG21</f>
        <v>3892000</v>
      </c>
      <c r="BJ115" s="15">
        <f>BJ5+BJ6+BJ7+BJ8+BJ9+BJ10+BJ16+BJ18+BJ21</f>
        <v>4647000</v>
      </c>
      <c r="BL115" s="15">
        <f>BL5+BL6+BL7+BL8+BL9+BL10+BL16+BL18+BL21</f>
        <v>4834539.07</v>
      </c>
      <c r="BM115" s="235">
        <f t="shared" ref="BM115" si="327">BL115/BJ115</f>
        <v>1.0403570195825265</v>
      </c>
      <c r="BO115" s="15">
        <f>BO5+BO6+BO7+BO8+BO9+BO10+BO16+BO18+BO21</f>
        <v>5167000</v>
      </c>
      <c r="BP115" s="242">
        <f>BO115/BL115</f>
        <v>1.0687678649786978</v>
      </c>
      <c r="BR115" s="15">
        <f>BR5+BR6+BR7+BR8+BR9+BR10+BR16+BR18+BR21</f>
        <v>82000</v>
      </c>
      <c r="BS115" s="15">
        <f>BS5+BS6+BS7+BS8+BS9+BS10+BS16+BS18+BS21</f>
        <v>5249000</v>
      </c>
      <c r="BU115" s="15">
        <f>BU5+BU6+BU7+BU8+BU9+BU10+BU16+BU18+BU21</f>
        <v>100000</v>
      </c>
      <c r="BV115" s="15">
        <f>BV5+BV6+BV7+BV8+BV9+BV10+BV16+BV18+BV21</f>
        <v>5349000</v>
      </c>
      <c r="BX115" s="15">
        <f>BX5+BX6+BX7+BX8+BX9+BX10+BX16+BX18+BX21</f>
        <v>0</v>
      </c>
      <c r="BY115" s="15">
        <f>BY5+BY6+BY7+BY8+BY9+BY10+BY16+BY18+BY21</f>
        <v>5349000</v>
      </c>
      <c r="BZ115" s="145"/>
      <c r="CA115" s="15">
        <f>CA5+CA6+CA7+CA8+CA9+CA10+CA16+CA18+CA21</f>
        <v>0</v>
      </c>
      <c r="CB115" s="15">
        <f>CB5+CB6+CB7+CB8+CB9+CB10+CB16+CB18+CB21</f>
        <v>5349000</v>
      </c>
      <c r="CD115" s="15">
        <f>CD5+CD6+CD7+CD8+CD9+CD10+CD16+CD18+CD21</f>
        <v>21000</v>
      </c>
      <c r="CE115" s="15">
        <f>CE5+CE6+CE7+CE8+CE9+CE10+CE16+CE18+CE21</f>
        <v>5370000</v>
      </c>
      <c r="CG115" s="15">
        <f>CG5+CG6+CG7+CG8+CG9+CG10+CG16+CG18+CG21</f>
        <v>0</v>
      </c>
      <c r="CH115" s="15">
        <f>CH5+CH6+CH7+CH8+CH9+CH10+CH16+CH18+CH21</f>
        <v>5370000</v>
      </c>
      <c r="CJ115" s="15">
        <f>CJ5+CJ6+CJ7+CJ8+CJ9+CJ10+CJ16+CJ18+CJ21</f>
        <v>81000</v>
      </c>
      <c r="CK115" s="15">
        <f>CK5+CK6+CK7+CK8+CK9+CK10+CK16+CK18+CK21</f>
        <v>5451000</v>
      </c>
      <c r="CM115" s="15">
        <f>CM5+CM6+CM7+CM8+CM9+CM10+CM16+CM18+CM21</f>
        <v>0</v>
      </c>
      <c r="CN115" s="15">
        <f>CN5+CN6+CN7+CN8+CN9+CN10+CN16+CN18+CN21</f>
        <v>5451000</v>
      </c>
      <c r="CP115" s="15">
        <f>CP5+CP6+CP7+CP8+CP9+CP10+CP16+CP18+CP21</f>
        <v>5416870.6100000003</v>
      </c>
      <c r="CR115" s="15">
        <f>CR5+CR6+CR7+CR8+CR9+CR10+CR16+CR18+CR21</f>
        <v>5825000</v>
      </c>
      <c r="CS115" s="242">
        <f>CR115/CP115</f>
        <v>1.0753441275201512</v>
      </c>
      <c r="CU115" s="15">
        <f>CU5+CU6+CU7+CU8+CU9+CU10+CU16+CU18+CU21</f>
        <v>0</v>
      </c>
      <c r="CV115" s="15">
        <f>CV5+CV6+CV7+CV8+CV9+CV10+CV16+CV18+CV21</f>
        <v>5825000</v>
      </c>
      <c r="CX115" s="15">
        <f>CX5+CX6+CX7+CX8+CX9+CX10+CX16+CX18+CX21</f>
        <v>0</v>
      </c>
      <c r="CY115" s="15">
        <f>CY5+CY6+CY7+CY8+CY9+CY10+CY16+CY18+CY21</f>
        <v>5825000</v>
      </c>
      <c r="DA115" s="15">
        <f>DA5+DA6+DA7+DA8+DA9+DA10+DA16+DA18+DA21</f>
        <v>0</v>
      </c>
      <c r="DB115" s="15">
        <f>DB5+DB6+DB7+DB8+DB9+DB10+DB16+DB18+DB21</f>
        <v>5825000</v>
      </c>
      <c r="DD115" s="15">
        <f>DD5+DD6+DD7+DD8+DD9+DD10+DD16+DD18+DD21</f>
        <v>0</v>
      </c>
      <c r="DE115" s="15">
        <f>DE5+DE6+DE7+DE8+DE9+DE10+DE16+DE18+DE21</f>
        <v>5825000</v>
      </c>
      <c r="DG115" s="15">
        <f>DG5+DG6+DG7+DG8+DG9+DG10+DG16+DG18+DG21</f>
        <v>0</v>
      </c>
      <c r="DH115" s="15">
        <f>DH5+DH6+DH7+DH8+DH9+DH10+DH16+DH18+DH21</f>
        <v>5825000</v>
      </c>
      <c r="DJ115" s="15">
        <f>DJ5+DJ6+DJ7+DJ8+DJ9+DJ10+DJ16+DJ18+DJ21</f>
        <v>105000</v>
      </c>
      <c r="DK115" s="15">
        <f>DK5+DK6+DK7+DK8+DK9+DK10+DK16+DK18+DK21</f>
        <v>5930000</v>
      </c>
      <c r="DM115" s="15">
        <f>DM5+DM6+DM7+DM8+DM9+DM10+DM16+DM18+DM21</f>
        <v>-97148</v>
      </c>
      <c r="DN115" s="15">
        <f>DN5+DN6+DN7+DN8+DN9+DN10+DN16+DN18+DN21</f>
        <v>5832852</v>
      </c>
      <c r="DP115" s="15">
        <f>DP5+DP6+DP7+DP8+DP9+DP10+DP16+DP18+DP21</f>
        <v>0</v>
      </c>
      <c r="DQ115" s="15">
        <f>DQ5+DQ6+DQ7+DQ8+DQ9+DQ10+DQ16+DQ18+DQ21</f>
        <v>5832852</v>
      </c>
      <c r="DS115" s="15">
        <f>DS5+DS6+DS7+DS8+DS9+DS10+DS16+DS18+DS21</f>
        <v>5963238.3699999992</v>
      </c>
      <c r="DU115" s="15">
        <f>DU5+DU6+DU7+DU8+DU9+DU10+DU16+DU18+DU21</f>
        <v>6412000</v>
      </c>
      <c r="DW115" s="15">
        <f>DW5+DW6+DW7+DW8+DW9+DW10+DW16+DW18+DW21</f>
        <v>63080</v>
      </c>
      <c r="DX115" s="15">
        <f>DX5+DX6+DX7+DX8+DX9+DX10+DX16+DX18+DX21</f>
        <v>6475080</v>
      </c>
      <c r="DZ115" s="15">
        <f>DZ5+DZ6+DZ7+DZ8+DZ9+DZ10+DZ16+DZ18+DZ21</f>
        <v>0</v>
      </c>
      <c r="EA115" s="15">
        <f>EA5+EA6+EA7+EA8+EA9+EA10+EA16+EA18+EA21</f>
        <v>6475080</v>
      </c>
      <c r="EC115" s="15">
        <f>EC5+EC6+EC7+EC8+EC9+EC10+EC16+EC18+EC21</f>
        <v>0</v>
      </c>
      <c r="ED115" s="15">
        <f>ED5+ED6+ED7+ED8+ED9+ED10+ED16+ED18+ED21</f>
        <v>6475080</v>
      </c>
      <c r="EF115" s="15">
        <f>EF5+EF6+EF7+EF8+EF9+EF10+EF16+EF18+EF21</f>
        <v>-251000</v>
      </c>
      <c r="EG115" s="15">
        <f>EG5+EG6+EG7+EG8+EG9+EG10+EG16+EG18+EG21</f>
        <v>6224080</v>
      </c>
      <c r="EI115" s="15">
        <f>EI5+EI6+EI7+EI8+EI9+EI10+EI16+EI18+EI21</f>
        <v>6081232.0700000003</v>
      </c>
      <c r="EK115" s="15">
        <f>EK5+EK6+EK7+EK8+EK9+EK10+EK16+EK18+EK21</f>
        <v>6263000</v>
      </c>
      <c r="EL115" s="235">
        <f t="shared" ref="EL115" si="328">EK115/EI115</f>
        <v>1.0298899841196161</v>
      </c>
    </row>
  </sheetData>
  <autoFilter ref="A4:EA22" xr:uid="{00000000-0001-0000-0B00-000000000000}"/>
  <mergeCells count="5">
    <mergeCell ref="A1:H1"/>
    <mergeCell ref="A109:C109"/>
    <mergeCell ref="D2:H2"/>
    <mergeCell ref="AD2:AF3"/>
    <mergeCell ref="AH2:AJ3"/>
  </mergeCells>
  <phoneticPr fontId="37" type="noConversion"/>
  <pageMargins left="0.17" right="0.15748031496062992" top="0.19685039370078741" bottom="0.19685039370078741" header="0.15748031496062992" footer="0.1574803149606299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33"/>
  <sheetViews>
    <sheetView workbookViewId="0"/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7109375" style="105" customWidth="1"/>
    <col min="8" max="8" width="11.42578125" style="105" bestFit="1" customWidth="1"/>
    <col min="9" max="9" width="14.42578125" style="105" bestFit="1" customWidth="1"/>
    <col min="10" max="10" width="1.5703125" style="105" customWidth="1"/>
    <col min="11" max="11" width="15.28515625" style="105" customWidth="1"/>
    <col min="12" max="12" width="12.140625" style="105" customWidth="1"/>
    <col min="13" max="16384" width="9.140625" style="105"/>
  </cols>
  <sheetData>
    <row r="2" spans="1:12" ht="23.25">
      <c r="A2" s="431" t="s">
        <v>464</v>
      </c>
      <c r="B2" s="431"/>
      <c r="C2" s="431"/>
      <c r="D2" s="431"/>
      <c r="E2" s="431"/>
      <c r="F2" s="431"/>
    </row>
    <row r="3" spans="1:12" ht="15.75">
      <c r="H3" s="117" t="s">
        <v>469</v>
      </c>
      <c r="I3" s="117"/>
      <c r="K3" s="117" t="s">
        <v>478</v>
      </c>
      <c r="L3" s="117"/>
    </row>
    <row r="4" spans="1:12" ht="45">
      <c r="A4" s="111" t="s">
        <v>263</v>
      </c>
      <c r="B4" s="111" t="s">
        <v>5</v>
      </c>
      <c r="C4" s="112" t="s">
        <v>449</v>
      </c>
      <c r="D4" s="112" t="s">
        <v>451</v>
      </c>
      <c r="E4" s="112" t="s">
        <v>450</v>
      </c>
      <c r="F4" s="112" t="s">
        <v>471</v>
      </c>
      <c r="H4" s="222" t="s">
        <v>472</v>
      </c>
      <c r="I4" s="222" t="s">
        <v>473</v>
      </c>
      <c r="K4" s="222" t="s">
        <v>472</v>
      </c>
      <c r="L4" s="222" t="s">
        <v>473</v>
      </c>
    </row>
    <row r="5" spans="1:12">
      <c r="A5" s="105" t="s">
        <v>265</v>
      </c>
      <c r="B5" s="105" t="s">
        <v>266</v>
      </c>
      <c r="C5" s="106">
        <f>Rozpis_Příjmy!L22</f>
        <v>4972000</v>
      </c>
      <c r="D5" s="106">
        <f>Rozpis_Příjmy!AH22</f>
        <v>4661600</v>
      </c>
      <c r="E5" s="106">
        <f>Rozpis_Příjmy!AL22</f>
        <v>4655908.6900000004</v>
      </c>
      <c r="F5" s="106">
        <f>Rozpis_Příjmy!AN22</f>
        <v>4104000</v>
      </c>
      <c r="H5" s="106">
        <f>Rozpis_Příjmy!AZ22</f>
        <v>0</v>
      </c>
      <c r="I5" s="106">
        <f>Rozpis_Příjmy!BA22</f>
        <v>4104000</v>
      </c>
      <c r="K5" s="106">
        <f>Rozpis_Příjmy!BC22</f>
        <v>0</v>
      </c>
      <c r="L5" s="106">
        <f>Rozpis_Příjmy!BD22</f>
        <v>4104000</v>
      </c>
    </row>
    <row r="6" spans="1:12">
      <c r="A6" s="105" t="s">
        <v>267</v>
      </c>
      <c r="B6" s="105" t="s">
        <v>268</v>
      </c>
      <c r="C6" s="106">
        <f>Rozpis_Příjmy!L111</f>
        <v>241200</v>
      </c>
      <c r="D6" s="106">
        <f>Rozpis_Příjmy!AH111</f>
        <v>240800</v>
      </c>
      <c r="E6" s="106">
        <f>Rozpis_Příjmy!AL111</f>
        <v>219140.41</v>
      </c>
      <c r="F6" s="106">
        <f>Rozpis_Příjmy!AN111</f>
        <v>203000</v>
      </c>
      <c r="H6" s="106">
        <f>Rozpis_Příjmy!AZ111</f>
        <v>0</v>
      </c>
      <c r="I6" s="106">
        <f>Rozpis_Příjmy!BA111</f>
        <v>203000</v>
      </c>
      <c r="K6" s="106">
        <f>Rozpis_Příjmy!BC111</f>
        <v>0</v>
      </c>
      <c r="L6" s="106">
        <f>Rozpis_Příjmy!BD111</f>
        <v>203000</v>
      </c>
    </row>
    <row r="7" spans="1:12">
      <c r="A7" s="105" t="s">
        <v>269</v>
      </c>
      <c r="B7" s="105" t="s">
        <v>270</v>
      </c>
      <c r="C7" s="106">
        <f>Rozpis_Příjmy!L89</f>
        <v>1000</v>
      </c>
      <c r="D7" s="106">
        <f>Rozpis_Příjmy!AH89</f>
        <v>28590</v>
      </c>
      <c r="E7" s="106">
        <f>Rozpis_Příjmy!AL89</f>
        <v>28557</v>
      </c>
      <c r="F7" s="106">
        <f>Rozpis_Příjmy!AN89</f>
        <v>1000</v>
      </c>
      <c r="H7" s="106">
        <f>Rozpis_Příjmy!AZ89</f>
        <v>0</v>
      </c>
      <c r="I7" s="106">
        <f>Rozpis_Příjmy!BA89</f>
        <v>1000</v>
      </c>
      <c r="K7" s="106">
        <f>Rozpis_Příjmy!BC89</f>
        <v>0</v>
      </c>
      <c r="L7" s="106">
        <f>Rozpis_Příjmy!BD89</f>
        <v>1000</v>
      </c>
    </row>
    <row r="8" spans="1:12">
      <c r="A8" s="105" t="s">
        <v>271</v>
      </c>
      <c r="B8" s="105" t="s">
        <v>272</v>
      </c>
      <c r="C8" s="106">
        <f>Rozpis_Příjmy!L33</f>
        <v>76800</v>
      </c>
      <c r="D8" s="106">
        <f>Rozpis_Příjmy!AH33</f>
        <v>1304250</v>
      </c>
      <c r="E8" s="106">
        <f>Rozpis_Příjmy!AL33</f>
        <v>1296911</v>
      </c>
      <c r="F8" s="106">
        <f>Rozpis_Příjmy!AN33</f>
        <v>84000</v>
      </c>
      <c r="H8" s="106">
        <f>Rozpis_Příjmy!AZ33</f>
        <v>211541.07</v>
      </c>
      <c r="I8" s="106">
        <f>Rozpis_Příjmy!BA33</f>
        <v>295541.07</v>
      </c>
      <c r="K8" s="106">
        <f>Rozpis_Příjmy!BC33</f>
        <v>0</v>
      </c>
      <c r="L8" s="106">
        <f>Rozpis_Příjmy!BD33</f>
        <v>295541.07</v>
      </c>
    </row>
    <row r="9" spans="1:12" s="117" customFormat="1" ht="16.5" thickBot="1">
      <c r="A9" s="115" t="s">
        <v>261</v>
      </c>
      <c r="B9" s="115"/>
      <c r="C9" s="116">
        <f>SUM(C5:C8)</f>
        <v>5291000</v>
      </c>
      <c r="D9" s="116">
        <f>SUM(D5:D8)</f>
        <v>6235240</v>
      </c>
      <c r="E9" s="116">
        <f>SUM(E5:E8)</f>
        <v>6200517.1000000006</v>
      </c>
      <c r="F9" s="116">
        <f>SUM(F5:F8)</f>
        <v>4392000</v>
      </c>
      <c r="H9" s="116">
        <f>SUM(H5:H8)</f>
        <v>211541.07</v>
      </c>
      <c r="I9" s="116">
        <f>SUM(I5:I8)</f>
        <v>4603541.07</v>
      </c>
      <c r="K9" s="116">
        <f>SUM(K5:K8)</f>
        <v>0</v>
      </c>
      <c r="L9" s="116">
        <f>SUM(L5:L8)</f>
        <v>4603541.07</v>
      </c>
    </row>
    <row r="11" spans="1:12" ht="15.75">
      <c r="A11" s="111" t="s">
        <v>273</v>
      </c>
      <c r="B11" s="111" t="s">
        <v>5</v>
      </c>
      <c r="C11" s="111"/>
      <c r="D11" s="111"/>
      <c r="E11" s="111"/>
      <c r="F11" s="114"/>
      <c r="H11" s="221"/>
      <c r="I11" s="221"/>
      <c r="K11" s="221"/>
      <c r="L11" s="221"/>
    </row>
    <row r="12" spans="1:12">
      <c r="A12" s="105" t="s">
        <v>274</v>
      </c>
      <c r="B12" s="105" t="s">
        <v>275</v>
      </c>
      <c r="C12" s="106">
        <f>Rozpis_Výdaje!L332</f>
        <v>4309999.92</v>
      </c>
      <c r="D12" s="106">
        <f>Rozpis_Výdaje!AE332</f>
        <v>4954150</v>
      </c>
      <c r="E12" s="106">
        <f>Rozpis_Výdaje!AH332</f>
        <v>4665142.3800000008</v>
      </c>
      <c r="F12" s="106">
        <f>Rozpis_Výdaje!AK332</f>
        <v>4265000</v>
      </c>
      <c r="H12" s="106">
        <f>Rozpis_Výdaje!AR332</f>
        <v>100000</v>
      </c>
      <c r="I12" s="106">
        <f>Rozpis_Výdaje!AS332</f>
        <v>4365000</v>
      </c>
      <c r="K12" s="106">
        <f>Rozpis_Výdaje!AU332</f>
        <v>150300</v>
      </c>
      <c r="L12" s="106">
        <f>Rozpis_Výdaje!AV332</f>
        <v>4515300</v>
      </c>
    </row>
    <row r="13" spans="1:12">
      <c r="A13" s="213" t="s">
        <v>458</v>
      </c>
      <c r="B13" s="105">
        <v>5171</v>
      </c>
      <c r="C13" s="106">
        <f>Rozpis_Výdaje!L333</f>
        <v>446000</v>
      </c>
      <c r="D13" s="106">
        <f>Rozpis_Výdaje!AE333</f>
        <v>935250</v>
      </c>
      <c r="E13" s="106">
        <f>Rozpis_Výdaje!AH333</f>
        <v>897748.58000000007</v>
      </c>
      <c r="F13" s="106">
        <f>Rozpis_Výdaje!AK333</f>
        <v>400000</v>
      </c>
      <c r="H13" s="106">
        <f>Rozpis_Výdaje!AR333</f>
        <v>0</v>
      </c>
      <c r="I13" s="106">
        <f>Rozpis_Výdaje!AS333</f>
        <v>400000</v>
      </c>
      <c r="K13" s="106">
        <f>Rozpis_Výdaje!AU333</f>
        <v>0</v>
      </c>
      <c r="L13" s="106">
        <f>Rozpis_Výdaje!AV333</f>
        <v>400000</v>
      </c>
    </row>
    <row r="14" spans="1:12">
      <c r="A14" s="105" t="s">
        <v>276</v>
      </c>
      <c r="B14" s="105" t="s">
        <v>277</v>
      </c>
      <c r="C14" s="106">
        <f>Rozpis_Výdaje!L335</f>
        <v>1760000</v>
      </c>
      <c r="D14" s="106">
        <f>Rozpis_Výdaje!AE335</f>
        <v>1365610</v>
      </c>
      <c r="E14" s="106">
        <f>Rozpis_Výdaje!AH335</f>
        <v>1363785.12</v>
      </c>
      <c r="F14" s="106">
        <f>Rozpis_Výdaje!AK335</f>
        <v>564000</v>
      </c>
      <c r="G14" s="105" t="s">
        <v>457</v>
      </c>
      <c r="H14" s="106">
        <f>Rozpis_Výdaje!AR335</f>
        <v>0</v>
      </c>
      <c r="I14" s="106">
        <f>Rozpis_Výdaje!AS335</f>
        <v>564000</v>
      </c>
      <c r="K14" s="106">
        <f>Rozpis_Výdaje!AU335</f>
        <v>0</v>
      </c>
      <c r="L14" s="106">
        <f>Rozpis_Výdaje!AV335</f>
        <v>564000</v>
      </c>
    </row>
    <row r="15" spans="1:12" s="117" customFormat="1" ht="16.5" thickBot="1">
      <c r="A15" s="115" t="s">
        <v>262</v>
      </c>
      <c r="B15" s="115"/>
      <c r="C15" s="116">
        <f>C12+C14</f>
        <v>6069999.9199999999</v>
      </c>
      <c r="D15" s="116">
        <f>D12+D14</f>
        <v>6319760</v>
      </c>
      <c r="E15" s="116">
        <f>E12+E14</f>
        <v>6028927.5000000009</v>
      </c>
      <c r="F15" s="116">
        <f>F12+F14</f>
        <v>4829000</v>
      </c>
      <c r="H15" s="116">
        <f t="shared" ref="H15:I15" si="0">H12+H14</f>
        <v>100000</v>
      </c>
      <c r="I15" s="116">
        <f t="shared" si="0"/>
        <v>4929000</v>
      </c>
      <c r="K15" s="116">
        <f t="shared" ref="K15:L15" si="1">K12+K14</f>
        <v>150300</v>
      </c>
      <c r="L15" s="116">
        <f t="shared" si="1"/>
        <v>5079300</v>
      </c>
    </row>
    <row r="17" spans="1:12" ht="15.75" thickBot="1">
      <c r="A17" s="107" t="s">
        <v>278</v>
      </c>
      <c r="B17" s="107"/>
      <c r="C17" s="108">
        <f>C9-C15</f>
        <v>-778999.91999999993</v>
      </c>
      <c r="D17" s="108">
        <f>D9-D15</f>
        <v>-84520</v>
      </c>
      <c r="E17" s="108">
        <f>E9-E15</f>
        <v>171589.59999999963</v>
      </c>
      <c r="F17" s="108">
        <f>F9-F15</f>
        <v>-437000</v>
      </c>
      <c r="H17" s="108">
        <f>H9-H15</f>
        <v>111541.07</v>
      </c>
      <c r="I17" s="108">
        <f t="shared" ref="I17" si="2">I9-I15</f>
        <v>-325458.9299999997</v>
      </c>
      <c r="K17" s="108">
        <f>K9-K15</f>
        <v>-150300</v>
      </c>
      <c r="L17" s="108">
        <f t="shared" ref="L17" si="3">L9-L15</f>
        <v>-475758.9299999997</v>
      </c>
    </row>
    <row r="19" spans="1:12" ht="15.75">
      <c r="A19" s="111" t="s">
        <v>279</v>
      </c>
      <c r="B19" s="111" t="s">
        <v>5</v>
      </c>
      <c r="C19" s="111"/>
      <c r="D19" s="111"/>
      <c r="E19" s="111"/>
      <c r="F19" s="114"/>
      <c r="H19" s="221"/>
      <c r="I19" s="221"/>
      <c r="K19" s="221"/>
      <c r="L19" s="221"/>
    </row>
    <row r="20" spans="1:12">
      <c r="A20" s="105" t="s">
        <v>280</v>
      </c>
      <c r="B20" s="105">
        <v>8115</v>
      </c>
      <c r="C20" s="106">
        <v>779000</v>
      </c>
      <c r="D20" s="106">
        <v>84520</v>
      </c>
      <c r="E20" s="106">
        <v>0</v>
      </c>
      <c r="F20" s="106">
        <v>437000</v>
      </c>
      <c r="H20" s="106">
        <v>0</v>
      </c>
      <c r="I20" s="106">
        <f>F20+H21</f>
        <v>325459</v>
      </c>
      <c r="K20" s="106">
        <v>150300</v>
      </c>
      <c r="L20" s="106">
        <f>I20+K20</f>
        <v>475759</v>
      </c>
    </row>
    <row r="21" spans="1:12">
      <c r="A21" s="105" t="s">
        <v>362</v>
      </c>
      <c r="B21" s="105">
        <v>8115</v>
      </c>
      <c r="C21" s="106">
        <v>0</v>
      </c>
      <c r="D21" s="106">
        <v>0</v>
      </c>
      <c r="E21" s="106">
        <f>-E17</f>
        <v>-171589.59999999963</v>
      </c>
      <c r="F21" s="106">
        <v>0</v>
      </c>
      <c r="H21" s="106">
        <v>-111541</v>
      </c>
      <c r="I21" s="106">
        <v>0</v>
      </c>
      <c r="K21" s="106">
        <v>0</v>
      </c>
      <c r="L21" s="106">
        <v>0</v>
      </c>
    </row>
    <row r="22" spans="1:12">
      <c r="A22" s="105" t="s">
        <v>358</v>
      </c>
      <c r="B22" s="105">
        <v>8123</v>
      </c>
      <c r="C22" s="106">
        <v>0</v>
      </c>
      <c r="D22" s="106">
        <v>0</v>
      </c>
      <c r="E22" s="106">
        <v>0</v>
      </c>
      <c r="F22" s="106">
        <v>0</v>
      </c>
      <c r="H22" s="106">
        <v>0</v>
      </c>
      <c r="I22" s="106">
        <v>0</v>
      </c>
      <c r="K22" s="106">
        <v>0</v>
      </c>
      <c r="L22" s="106">
        <v>0</v>
      </c>
    </row>
    <row r="23" spans="1:12" s="117" customFormat="1" ht="17.25" customHeight="1" thickBot="1">
      <c r="A23" s="115" t="s">
        <v>359</v>
      </c>
      <c r="B23" s="115"/>
      <c r="C23" s="116">
        <f>SUM(C20:C22)</f>
        <v>779000</v>
      </c>
      <c r="D23" s="116">
        <f>SUM(D20:D22)</f>
        <v>84520</v>
      </c>
      <c r="E23" s="116">
        <f>SUM(E20:E22)</f>
        <v>-171589.59999999963</v>
      </c>
      <c r="F23" s="116">
        <f>SUM(F20:F22)</f>
        <v>437000</v>
      </c>
      <c r="H23" s="116">
        <f>SUM(H20:H22)</f>
        <v>-111541</v>
      </c>
      <c r="I23" s="116">
        <f>SUM(I20:I22)</f>
        <v>325459</v>
      </c>
      <c r="K23" s="116">
        <f>SUM(K20:K22)</f>
        <v>150300</v>
      </c>
      <c r="L23" s="116">
        <f>SUM(L20:L22)</f>
        <v>475759</v>
      </c>
    </row>
    <row r="24" spans="1:12">
      <c r="H24" s="106"/>
      <c r="I24" s="106"/>
      <c r="K24" s="106"/>
      <c r="L24" s="106"/>
    </row>
    <row r="25" spans="1:12" ht="15.75" thickBot="1">
      <c r="A25" s="109" t="s">
        <v>360</v>
      </c>
      <c r="B25" s="109"/>
      <c r="C25" s="110">
        <f>C9-C15+C23</f>
        <v>8.0000000074505806E-2</v>
      </c>
      <c r="D25" s="110">
        <f>D9-D15+D23</f>
        <v>0</v>
      </c>
      <c r="E25" s="110">
        <f>E9-E15+E23</f>
        <v>0</v>
      </c>
      <c r="F25" s="110">
        <f>F9-F15+F23</f>
        <v>0</v>
      </c>
      <c r="H25" s="110">
        <f>H9-H15+H23</f>
        <v>7.0000000006984919E-2</v>
      </c>
      <c r="I25" s="110">
        <f>I9-I15+I23</f>
        <v>7.0000000298023224E-2</v>
      </c>
      <c r="K25" s="110">
        <f>K9-K15+K23</f>
        <v>0</v>
      </c>
      <c r="L25" s="110">
        <f>L9-L15+L23</f>
        <v>7.0000000298023224E-2</v>
      </c>
    </row>
    <row r="27" spans="1:12">
      <c r="A27" s="105" t="s">
        <v>474</v>
      </c>
    </row>
    <row r="28" spans="1:12">
      <c r="A28" s="105" t="s">
        <v>470</v>
      </c>
      <c r="J28" s="219" t="s">
        <v>461</v>
      </c>
    </row>
    <row r="29" spans="1:12">
      <c r="A29" s="105" t="s">
        <v>477</v>
      </c>
      <c r="B29" s="132"/>
      <c r="J29" s="219" t="s">
        <v>462</v>
      </c>
    </row>
    <row r="31" spans="1:12">
      <c r="A31" s="104" t="s">
        <v>479</v>
      </c>
    </row>
    <row r="32" spans="1:12">
      <c r="A32" s="104"/>
    </row>
    <row r="33" spans="1:1">
      <c r="A33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FY341"/>
  <sheetViews>
    <sheetView zoomScaleNormal="100" workbookViewId="0">
      <pane xSplit="11" ySplit="4" topLeftCell="L201" activePane="bottomRight" state="frozen"/>
      <selection pane="topRight" activeCell="L1" sqref="L1"/>
      <selection pane="bottomLeft" activeCell="A5" sqref="A5"/>
      <selection pane="bottomRight" activeCell="FV211" sqref="FV211"/>
    </sheetView>
  </sheetViews>
  <sheetFormatPr defaultRowHeight="15" outlineLevelRow="2" outlineLevelCol="3"/>
  <cols>
    <col min="1" max="1" width="8.28515625" bestFit="1" customWidth="1"/>
    <col min="2" max="2" width="7.85546875" bestFit="1" customWidth="1"/>
    <col min="3" max="3" width="40.140625" style="282" customWidth="1"/>
    <col min="4" max="4" width="11.85546875" style="15" hidden="1" customWidth="1" outlineLevel="1"/>
    <col min="5" max="5" width="8.28515625" style="35" hidden="1" customWidth="1" outlineLevel="1"/>
    <col min="6" max="6" width="11.5703125" style="15" hidden="1" customWidth="1" outlineLevel="1"/>
    <col min="7" max="7" width="8.28515625" style="35" hidden="1" customWidth="1" outlineLevel="1"/>
    <col min="8" max="9" width="12.7109375" style="15" hidden="1" customWidth="1" outlineLevel="1"/>
    <col min="10" max="10" width="8.42578125" hidden="1" customWidth="1" outlineLevel="1"/>
    <col min="11" max="11" width="9.140625" hidden="1" customWidth="1" outlineLevel="1"/>
    <col min="12" max="12" width="11.5703125" style="118" hidden="1" customWidth="1" outlineLevel="1" collapsed="1"/>
    <col min="13" max="13" width="10.5703125" hidden="1" customWidth="1" outlineLevel="2"/>
    <col min="14" max="14" width="9.140625" hidden="1" customWidth="1" outlineLevel="2"/>
    <col min="15" max="15" width="6.42578125" hidden="1" customWidth="1" outlineLevel="2"/>
    <col min="16" max="16" width="4.7109375" hidden="1" customWidth="1" outlineLevel="2"/>
    <col min="17" max="17" width="9.140625" style="118" hidden="1" customWidth="1" outlineLevel="2"/>
    <col min="18" max="18" width="9.140625" style="15" hidden="1" customWidth="1" outlineLevel="2"/>
    <col min="19" max="19" width="9.140625" style="118" hidden="1" customWidth="1" outlineLevel="2"/>
    <col min="20" max="21" width="9.140625" style="15" hidden="1" customWidth="1" outlineLevel="2"/>
    <col min="22" max="22" width="9.140625" style="140" hidden="1" customWidth="1" outlineLevel="2"/>
    <col min="23" max="24" width="2.5703125" hidden="1" customWidth="1" outlineLevel="2"/>
    <col min="25" max="26" width="9.140625" hidden="1" customWidth="1" outlineLevel="2"/>
    <col min="27" max="28" width="9.140625" style="118" hidden="1" customWidth="1" outlineLevel="2"/>
    <col min="29" max="29" width="9.140625" style="188" hidden="1" customWidth="1" outlineLevel="2"/>
    <col min="30" max="30" width="4.7109375" style="188" hidden="1" customWidth="1" outlineLevel="2"/>
    <col min="31" max="31" width="0" style="118" hidden="1" customWidth="1" outlineLevel="1" collapsed="1"/>
    <col min="32" max="32" width="8" hidden="1" customWidth="1" outlineLevel="1"/>
    <col min="33" max="33" width="4.7109375" hidden="1" customWidth="1" outlineLevel="1"/>
    <col min="34" max="34" width="11.42578125" hidden="1" customWidth="1" outlineLevel="1"/>
    <col min="35" max="35" width="0" hidden="1" customWidth="1" outlineLevel="1"/>
    <col min="36" max="36" width="3.42578125" hidden="1" customWidth="1" outlineLevel="1"/>
    <col min="37" max="37" width="0" style="118" hidden="1" customWidth="1" outlineLevel="1"/>
    <col min="38" max="38" width="0" style="15" hidden="1" customWidth="1" outlineLevel="1"/>
    <col min="39" max="41" width="0" hidden="1" customWidth="1" outlineLevel="1"/>
    <col min="42" max="42" width="0" style="220" hidden="1" customWidth="1" outlineLevel="1"/>
    <col min="43" max="43" width="0" hidden="1" customWidth="1" outlineLevel="1"/>
    <col min="44" max="46" width="9.140625" hidden="1" customWidth="1" outlineLevel="2"/>
    <col min="47" max="47" width="9.140625" style="15" hidden="1" customWidth="1" outlineLevel="2"/>
    <col min="48" max="51" width="9.140625" hidden="1" customWidth="1" outlineLevel="2"/>
    <col min="52" max="52" width="1.85546875" hidden="1" customWidth="1" outlineLevel="2"/>
    <col min="53" max="53" width="9.140625" style="15" hidden="1" customWidth="1" outlineLevel="2"/>
    <col min="54" max="54" width="9.140625" hidden="1" customWidth="1" outlineLevel="2"/>
    <col min="55" max="55" width="2.140625" hidden="1" customWidth="1" outlineLevel="2"/>
    <col min="56" max="57" width="9.140625" hidden="1" customWidth="1" outlineLevel="2"/>
    <col min="58" max="58" width="1.85546875" hidden="1" customWidth="1" outlineLevel="1" collapsed="1"/>
    <col min="59" max="59" width="0" hidden="1" customWidth="1" outlineLevel="1"/>
    <col min="60" max="60" width="9.28515625" hidden="1" customWidth="1" outlineLevel="1"/>
    <col min="61" max="61" width="1.85546875" hidden="1" customWidth="1" outlineLevel="1"/>
    <col min="62" max="62" width="12.42578125" style="15" hidden="1" customWidth="1" outlineLevel="1"/>
    <col min="63" max="63" width="7" style="234" hidden="1" customWidth="1" outlineLevel="1"/>
    <col min="64" max="64" width="2.5703125" style="234" hidden="1" customWidth="1" outlineLevel="1"/>
    <col min="65" max="65" width="9.85546875" hidden="1" customWidth="1" outlineLevel="1"/>
    <col min="66" max="67" width="7.7109375" style="234" hidden="1" customWidth="1" outlineLevel="1"/>
    <col min="68" max="68" width="4.140625" hidden="1" customWidth="1" outlineLevel="1"/>
    <col min="69" max="70" width="9.85546875" hidden="1" customWidth="1" outlineLevel="2"/>
    <col min="71" max="71" width="1.7109375" hidden="1" customWidth="1" outlineLevel="2"/>
    <col min="72" max="73" width="9.85546875" hidden="1" customWidth="1" outlineLevel="2"/>
    <col min="74" max="74" width="1.7109375" hidden="1" customWidth="1" outlineLevel="2"/>
    <col min="75" max="76" width="9.85546875" hidden="1" customWidth="1" outlineLevel="2"/>
    <col min="77" max="77" width="1.7109375" hidden="1" customWidth="1" outlineLevel="2"/>
    <col min="78" max="79" width="9.85546875" hidden="1" customWidth="1" outlineLevel="2"/>
    <col min="80" max="80" width="1.7109375" hidden="1" customWidth="1" outlineLevel="2"/>
    <col min="81" max="82" width="9.85546875" hidden="1" customWidth="1" outlineLevel="2"/>
    <col min="83" max="83" width="1.7109375" hidden="1" customWidth="1" outlineLevel="2"/>
    <col min="84" max="85" width="9.85546875" hidden="1" customWidth="1" outlineLevel="2"/>
    <col min="86" max="86" width="1.7109375" hidden="1" customWidth="1" outlineLevel="2"/>
    <col min="87" max="88" width="9.85546875" hidden="1" customWidth="1" outlineLevel="2"/>
    <col min="89" max="89" width="3.7109375" hidden="1" customWidth="1" outlineLevel="2"/>
    <col min="90" max="90" width="9.85546875" style="15" hidden="1" customWidth="1" outlineLevel="2"/>
    <col min="91" max="91" width="9.85546875" hidden="1" customWidth="1" outlineLevel="2"/>
    <col min="92" max="92" width="1.5703125" hidden="1" customWidth="1" outlineLevel="2"/>
    <col min="93" max="93" width="9.85546875" style="15" hidden="1" customWidth="1" outlineLevel="2"/>
    <col min="94" max="94" width="9.85546875" hidden="1" customWidth="1" outlineLevel="2"/>
    <col min="95" max="95" width="2.7109375" hidden="1" customWidth="1" outlineLevel="1" collapsed="1"/>
    <col min="96" max="96" width="9.85546875" style="15" hidden="1" customWidth="1" outlineLevel="2"/>
    <col min="97" max="97" width="9.85546875" hidden="1" customWidth="1" outlineLevel="2"/>
    <col min="98" max="98" width="1.140625" hidden="1" customWidth="1" outlineLevel="2"/>
    <col min="99" max="99" width="9.85546875" style="15" hidden="1" customWidth="1" outlineLevel="2"/>
    <col min="100" max="100" width="9.85546875" hidden="1" customWidth="1" outlineLevel="2"/>
    <col min="101" max="101" width="3.140625" hidden="1" customWidth="1" outlineLevel="2"/>
    <col min="102" max="102" width="9.85546875" style="15" hidden="1" customWidth="1" outlineLevel="1" collapsed="1"/>
    <col min="103" max="103" width="9.85546875" hidden="1" customWidth="1" outlineLevel="1"/>
    <col min="104" max="104" width="1.7109375" hidden="1" customWidth="1" outlineLevel="1"/>
    <col min="105" max="105" width="9.85546875" style="15" hidden="1" customWidth="1" outlineLevel="1"/>
    <col min="106" max="106" width="2.85546875" hidden="1" customWidth="1" outlineLevel="1"/>
    <col min="107" max="107" width="11.85546875" style="15" hidden="1" customWidth="1" outlineLevel="1"/>
    <col min="108" max="108" width="1.140625" hidden="1" customWidth="1" outlineLevel="1"/>
    <col min="109" max="109" width="9.140625" hidden="1" customWidth="1" outlineLevel="2"/>
    <col min="110" max="110" width="10.42578125" hidden="1" customWidth="1" outlineLevel="2"/>
    <col min="111" max="111" width="1.85546875" hidden="1" customWidth="1" outlineLevel="2"/>
    <col min="112" max="112" width="9.140625" hidden="1" customWidth="1" outlineLevel="2"/>
    <col min="113" max="113" width="10.42578125" hidden="1" customWidth="1" outlineLevel="2"/>
    <col min="114" max="114" width="2.5703125" hidden="1" customWidth="1" outlineLevel="2"/>
    <col min="115" max="115" width="9.140625" hidden="1" customWidth="1" outlineLevel="2"/>
    <col min="116" max="116" width="10.42578125" hidden="1" customWidth="1" outlineLevel="2"/>
    <col min="117" max="117" width="2.5703125" hidden="1" customWidth="1" outlineLevel="2"/>
    <col min="118" max="118" width="9.140625" hidden="1" customWidth="1" outlineLevel="2"/>
    <col min="119" max="119" width="10.42578125" hidden="1" customWidth="1" outlineLevel="2"/>
    <col min="120" max="120" width="4.140625" hidden="1" customWidth="1" outlineLevel="2"/>
    <col min="121" max="121" width="9.140625" hidden="1" customWidth="1" outlineLevel="2"/>
    <col min="122" max="122" width="10.42578125" hidden="1" customWidth="1" outlineLevel="3"/>
    <col min="123" max="123" width="4.140625" hidden="1" customWidth="1" outlineLevel="2" collapsed="1"/>
    <col min="124" max="124" width="9.140625" hidden="1" customWidth="1" outlineLevel="2"/>
    <col min="125" max="125" width="10.42578125" hidden="1" customWidth="1" outlineLevel="2"/>
    <col min="126" max="127" width="9.140625" hidden="1" customWidth="1" outlineLevel="2"/>
    <col min="128" max="128" width="10.42578125" hidden="1" customWidth="1" outlineLevel="2"/>
    <col min="129" max="129" width="1.7109375" hidden="1" customWidth="1" outlineLevel="2"/>
    <col min="130" max="130" width="8" hidden="1" customWidth="1" outlineLevel="2"/>
    <col min="131" max="131" width="10.42578125" hidden="1" customWidth="1" outlineLevel="2"/>
    <col min="132" max="132" width="2.85546875" hidden="1" customWidth="1" outlineLevel="2"/>
    <col min="133" max="133" width="8.5703125" hidden="1" customWidth="1" outlineLevel="2"/>
    <col min="134" max="134" width="12.7109375" hidden="1" customWidth="1" outlineLevel="2"/>
    <col min="135" max="135" width="3.42578125" hidden="1" customWidth="1" outlineLevel="1" collapsed="1"/>
    <col min="136" max="136" width="8.5703125" hidden="1" customWidth="1" outlineLevel="1"/>
    <col min="137" max="137" width="12.7109375" hidden="1" customWidth="1" outlineLevel="1"/>
    <col min="138" max="138" width="3.5703125" hidden="1" customWidth="1" outlineLevel="1"/>
    <col min="139" max="139" width="13.140625" style="15" hidden="1" customWidth="1" outlineLevel="1"/>
    <col min="140" max="140" width="4.85546875" hidden="1" customWidth="1" outlineLevel="1"/>
    <col min="141" max="141" width="10.140625" hidden="1" customWidth="1" outlineLevel="1"/>
    <col min="142" max="142" width="3.140625" hidden="1" customWidth="1" outlineLevel="1"/>
    <col min="143" max="143" width="8" hidden="1" customWidth="1" outlineLevel="2"/>
    <col min="144" max="144" width="10.42578125" hidden="1" customWidth="1" outlineLevel="2"/>
    <col min="145" max="145" width="3.85546875" hidden="1" customWidth="1" outlineLevel="1" collapsed="1"/>
    <col min="146" max="146" width="9.140625" hidden="1" customWidth="1" outlineLevel="2"/>
    <col min="147" max="147" width="10.42578125" hidden="1" customWidth="1" outlineLevel="2"/>
    <col min="148" max="148" width="3.85546875" hidden="1" customWidth="1" outlineLevel="1" collapsed="1"/>
    <col min="149" max="149" width="8" hidden="1" customWidth="1" outlineLevel="2"/>
    <col min="150" max="150" width="10.42578125" hidden="1" customWidth="1" outlineLevel="2"/>
    <col min="151" max="151" width="1.85546875" hidden="1" customWidth="1" outlineLevel="1" collapsed="1"/>
    <col min="152" max="152" width="9.42578125" style="15" hidden="1" customWidth="1" outlineLevel="2"/>
    <col min="153" max="153" width="10.42578125" hidden="1" customWidth="1" outlineLevel="2"/>
    <col min="154" max="154" width="4.140625" hidden="1" customWidth="1" outlineLevel="1" collapsed="1"/>
    <col min="155" max="155" width="9.42578125" style="15" hidden="1" customWidth="1" outlineLevel="2"/>
    <col min="156" max="156" width="10.42578125" hidden="1" customWidth="1" outlineLevel="2"/>
    <col min="157" max="157" width="4.28515625" hidden="1" customWidth="1" outlineLevel="1" collapsed="1"/>
    <col min="158" max="158" width="9.42578125" style="15" hidden="1" customWidth="1" outlineLevel="2"/>
    <col min="159" max="159" width="10.42578125" hidden="1" customWidth="1" outlineLevel="2"/>
    <col min="160" max="160" width="4.140625" hidden="1" customWidth="1" outlineLevel="1" collapsed="1"/>
    <col min="161" max="161" width="9.42578125" style="15" hidden="1" customWidth="1" outlineLevel="2"/>
    <col min="162" max="162" width="10.42578125" hidden="1" customWidth="1" outlineLevel="2"/>
    <col min="163" max="163" width="1.7109375" hidden="1" customWidth="1" outlineLevel="1" collapsed="1"/>
    <col min="164" max="164" width="9.42578125" style="15" hidden="1" customWidth="1" outlineLevel="2"/>
    <col min="165" max="165" width="10.42578125" hidden="1" customWidth="1" outlineLevel="2"/>
    <col min="166" max="166" width="3.42578125" hidden="1" customWidth="1" outlineLevel="1" collapsed="1"/>
    <col min="167" max="167" width="9.42578125" style="15" hidden="1" customWidth="1" outlineLevel="2"/>
    <col min="168" max="168" width="10.42578125" hidden="1" customWidth="1" outlineLevel="2"/>
    <col min="169" max="169" width="2.7109375" hidden="1" customWidth="1" outlineLevel="1" collapsed="1"/>
    <col min="170" max="170" width="9.42578125" style="15" hidden="1" customWidth="1" outlineLevel="2"/>
    <col min="171" max="171" width="10.42578125" hidden="1" customWidth="1" outlineLevel="2"/>
    <col min="172" max="172" width="4.7109375" hidden="1" customWidth="1" outlineLevel="1" collapsed="1"/>
    <col min="173" max="173" width="9.42578125" style="15" hidden="1" customWidth="1" outlineLevel="2"/>
    <col min="174" max="174" width="10.42578125" hidden="1" customWidth="1" outlineLevel="2"/>
    <col min="175" max="175" width="0" hidden="1" customWidth="1" outlineLevel="1" collapsed="1"/>
    <col min="176" max="176" width="13.140625" style="15" bestFit="1" customWidth="1" collapsed="1"/>
    <col min="177" max="177" width="5.5703125" customWidth="1"/>
    <col min="178" max="178" width="13.140625" style="15" bestFit="1" customWidth="1"/>
    <col min="181" max="181" width="9.85546875" style="15" bestFit="1" customWidth="1"/>
  </cols>
  <sheetData>
    <row r="1" spans="1:181">
      <c r="A1" s="443" t="s">
        <v>284</v>
      </c>
      <c r="B1" s="444"/>
      <c r="C1" s="444"/>
      <c r="D1" s="444"/>
      <c r="E1" s="444"/>
      <c r="F1" s="444"/>
      <c r="G1" s="444"/>
      <c r="H1" s="444"/>
      <c r="Q1" s="15">
        <f>Q337</f>
        <v>6722400</v>
      </c>
      <c r="R1" s="15">
        <f>R337</f>
        <v>2751761</v>
      </c>
      <c r="S1" s="15">
        <f>S337</f>
        <v>5885000</v>
      </c>
      <c r="T1" s="15">
        <f>T337</f>
        <v>-846900</v>
      </c>
      <c r="Y1" s="15">
        <f>Y337</f>
        <v>5928700</v>
      </c>
      <c r="Z1">
        <v>5930500</v>
      </c>
      <c r="AA1" s="118">
        <f>Y1-Z1</f>
        <v>-1800</v>
      </c>
      <c r="AH1" s="15">
        <f>SUBTOTAL(9,AH5:AH331)</f>
        <v>14225103.58</v>
      </c>
      <c r="AR1" s="15">
        <f>AR337</f>
        <v>100000</v>
      </c>
      <c r="AS1" s="15">
        <f>AS337</f>
        <v>4929000</v>
      </c>
      <c r="AV1" s="15">
        <f>AV337</f>
        <v>5079300</v>
      </c>
      <c r="AW1" s="15">
        <f>AW337</f>
        <v>0</v>
      </c>
      <c r="AX1" s="15">
        <f>AX337</f>
        <v>49297.26</v>
      </c>
      <c r="AY1" s="15">
        <f>AY337</f>
        <v>5128597.26</v>
      </c>
      <c r="BA1" s="15">
        <f>BA337</f>
        <v>0</v>
      </c>
      <c r="BB1" s="15">
        <f>BB337</f>
        <v>5128597.26</v>
      </c>
      <c r="BD1" s="15">
        <f>BD337</f>
        <v>428903</v>
      </c>
      <c r="BE1" s="15">
        <f>BE337</f>
        <v>5557500.2599999998</v>
      </c>
      <c r="BG1" s="15">
        <f>BG337</f>
        <v>0</v>
      </c>
      <c r="BH1" s="15">
        <f>BH337</f>
        <v>5557500.2599999998</v>
      </c>
      <c r="BJ1" s="15">
        <f>SUBTOTAL(9,BJ5:BJ331)</f>
        <v>11690796.140000002</v>
      </c>
      <c r="BM1" s="15">
        <f>SUBTOTAL(9,BM5:BM331)</f>
        <v>20509000</v>
      </c>
      <c r="BQ1" s="15">
        <f>SUBTOTAL(9,BQ5:BQ331)</f>
        <v>0</v>
      </c>
      <c r="BR1" s="15">
        <f>SUBTOTAL(9,BR5:BR331)</f>
        <v>20509000</v>
      </c>
      <c r="BT1" s="15">
        <f>SUBTOTAL(9,BT5:BT331)</f>
        <v>0</v>
      </c>
      <c r="BU1" s="15">
        <f>SUBTOTAL(9,BU5:BU331)</f>
        <v>20509000</v>
      </c>
      <c r="BW1" s="15">
        <f>SUBTOTAL(9,BW5:BW331)</f>
        <v>560732</v>
      </c>
      <c r="BX1" s="15">
        <f>SUBTOTAL(9,BX5:BX331)</f>
        <v>21069732</v>
      </c>
      <c r="BZ1" s="15">
        <f>SUBTOTAL(9,BZ5:BZ331)</f>
        <v>53000</v>
      </c>
      <c r="CA1" s="15">
        <f>SUBTOTAL(9,CA5:CA331)</f>
        <v>21122732</v>
      </c>
      <c r="CC1" s="15">
        <f>SUBTOTAL(9,CC5:CC331)</f>
        <v>483777.78</v>
      </c>
      <c r="CD1" s="15">
        <f>SUBTOTAL(9,CD5:CD331)</f>
        <v>21606509.780000001</v>
      </c>
      <c r="CF1" s="15">
        <f>SUBTOTAL(9,CF5:CF331)</f>
        <v>0</v>
      </c>
      <c r="CG1" s="15">
        <f>SUBTOTAL(9,CG5:CG331)</f>
        <v>21606509.780000001</v>
      </c>
      <c r="CI1" s="15">
        <f>SUBTOTAL(9,CI5:CI331)</f>
        <v>0</v>
      </c>
      <c r="CJ1" s="15">
        <f>SUBTOTAL(9,CJ5:CJ331)</f>
        <v>21606509.780000001</v>
      </c>
      <c r="CL1" s="15">
        <f>SUBTOTAL(9,CL5:CL331)</f>
        <v>0</v>
      </c>
      <c r="CM1" s="15">
        <f>SUBTOTAL(9,CM5:CM331)</f>
        <v>21606509.780000001</v>
      </c>
      <c r="CO1" s="15">
        <f>SUBTOTAL(9,CO5:CO331)</f>
        <v>304000</v>
      </c>
      <c r="CP1" s="15">
        <f>SUBTOTAL(9,CP5:CP331)</f>
        <v>21910509.780000001</v>
      </c>
      <c r="CR1" s="15">
        <f>SUBTOTAL(9,CR5:CR331)</f>
        <v>484000</v>
      </c>
      <c r="CS1" s="15">
        <f>SUBTOTAL(9,CS5:CS331)</f>
        <v>22394509.780000001</v>
      </c>
      <c r="CU1" s="15">
        <f>SUBTOTAL(9,CU5:CU331)</f>
        <v>-352600</v>
      </c>
      <c r="CV1" s="15">
        <f>SUBTOTAL(9,CV5:CV331)</f>
        <v>22041909.780000001</v>
      </c>
      <c r="CX1" s="15">
        <f>SUBTOTAL(9,CX5:CX331)</f>
        <v>0</v>
      </c>
      <c r="CY1" s="15">
        <f>SUBTOTAL(9,CY5:CY331)</f>
        <v>22041909.780000001</v>
      </c>
      <c r="DA1" s="15">
        <f>SUBTOTAL(9,DA5:DA331)</f>
        <v>23765183.449999996</v>
      </c>
      <c r="DC1" s="15">
        <f>SUBTOTAL(9,DC5:DC331)</f>
        <v>13829826.199999999</v>
      </c>
      <c r="DE1" s="15">
        <f>DE337</f>
        <v>0</v>
      </c>
      <c r="DF1" s="15">
        <f>DF337</f>
        <v>6791389.0999999996</v>
      </c>
      <c r="DH1" s="15">
        <f>DH337</f>
        <v>57325</v>
      </c>
      <c r="DI1" s="15">
        <f>DI337</f>
        <v>6848714.0999999996</v>
      </c>
      <c r="DK1" s="15">
        <f>DK337</f>
        <v>1115990.6599999999</v>
      </c>
      <c r="DL1" s="15">
        <f>DL337</f>
        <v>7964704.7599999998</v>
      </c>
      <c r="DN1" s="15">
        <f>DN337</f>
        <v>0</v>
      </c>
      <c r="DO1" s="15">
        <f>DO337</f>
        <v>7964704.7599999998</v>
      </c>
      <c r="DQ1" s="15">
        <f>DQ337</f>
        <v>215300</v>
      </c>
      <c r="DR1" s="15">
        <f>DR337</f>
        <v>8180004.7599999998</v>
      </c>
      <c r="DT1" s="15">
        <f>DT337</f>
        <v>103900</v>
      </c>
      <c r="DU1" s="15">
        <f>DU337</f>
        <v>8283904.7599999998</v>
      </c>
      <c r="DW1" s="15">
        <f>DW337</f>
        <v>870100</v>
      </c>
      <c r="DX1" s="15">
        <f>DX337</f>
        <v>9154004.7599999998</v>
      </c>
      <c r="DZ1" s="15">
        <f>DZ337</f>
        <v>0</v>
      </c>
      <c r="EA1" s="15">
        <f>EA337</f>
        <v>9154004.7599999998</v>
      </c>
      <c r="EC1" s="15">
        <f>EC337</f>
        <v>-81700</v>
      </c>
      <c r="ED1" s="15">
        <f>ED337</f>
        <v>9072304.7599999998</v>
      </c>
      <c r="EF1" s="15">
        <f>EF337</f>
        <v>-203905</v>
      </c>
      <c r="EG1" s="15">
        <f>EG337</f>
        <v>8868399.7599999998</v>
      </c>
      <c r="EI1" s="15">
        <f>EI337</f>
        <v>8401451.1099999994</v>
      </c>
      <c r="EK1" s="15">
        <f>EK337</f>
        <v>8198220.0999999996</v>
      </c>
      <c r="EM1" s="15">
        <f>EM337</f>
        <v>63080</v>
      </c>
      <c r="EN1" s="15">
        <f>EN337</f>
        <v>8261300.0999999996</v>
      </c>
      <c r="EP1" s="15">
        <f>EP337</f>
        <v>182700</v>
      </c>
      <c r="EQ1" s="15">
        <f>EQ337</f>
        <v>8444000.0999999996</v>
      </c>
      <c r="ES1" s="15">
        <f>ES337</f>
        <v>0</v>
      </c>
      <c r="ET1" s="15">
        <f>ET337</f>
        <v>8444000.0999999996</v>
      </c>
      <c r="EV1" s="15">
        <f>EV337</f>
        <v>0</v>
      </c>
      <c r="EW1" s="15">
        <f>EW337</f>
        <v>8444000.0999999996</v>
      </c>
      <c r="EY1" s="15">
        <f>EY337</f>
        <v>0</v>
      </c>
      <c r="EZ1" s="15">
        <f>EZ337</f>
        <v>8444000.0999999996</v>
      </c>
      <c r="FB1" s="15">
        <f>FB337</f>
        <v>48000</v>
      </c>
      <c r="FC1" s="15">
        <f>FC337</f>
        <v>8492000.0999999996</v>
      </c>
      <c r="FE1" s="15">
        <f>FE337</f>
        <v>0</v>
      </c>
      <c r="FF1" s="15">
        <f>FF337</f>
        <v>8468500.0999999996</v>
      </c>
      <c r="FH1" s="15">
        <f>FH337</f>
        <v>0</v>
      </c>
      <c r="FI1" s="15">
        <f>FI337</f>
        <v>8492000.0999999996</v>
      </c>
      <c r="FK1" s="15">
        <f>FK337</f>
        <v>76881</v>
      </c>
      <c r="FL1" s="15">
        <f>FL337</f>
        <v>8568881.0999999996</v>
      </c>
      <c r="FN1" s="15">
        <f>FN337</f>
        <v>0</v>
      </c>
      <c r="FO1" s="15">
        <f>FO337</f>
        <v>8568881.0999999996</v>
      </c>
      <c r="FQ1" s="15">
        <v>0</v>
      </c>
      <c r="FR1" s="15">
        <v>8568881.0999999996</v>
      </c>
      <c r="FT1" s="15">
        <f>FT337</f>
        <v>8226972.5700000022</v>
      </c>
      <c r="FV1" s="15">
        <f>FV337</f>
        <v>6802769.4000000004</v>
      </c>
    </row>
    <row r="2" spans="1:181" s="338" customFormat="1" ht="19.5" thickBot="1">
      <c r="A2" s="337"/>
      <c r="C2" s="339"/>
      <c r="D2" s="456">
        <v>2019</v>
      </c>
      <c r="E2" s="456"/>
      <c r="F2" s="456"/>
      <c r="G2" s="456"/>
      <c r="H2" s="456"/>
      <c r="I2" s="340">
        <v>1.2</v>
      </c>
      <c r="J2" s="340"/>
      <c r="L2" s="192">
        <v>2020</v>
      </c>
      <c r="Q2" s="192"/>
      <c r="S2" s="192">
        <v>5886800</v>
      </c>
      <c r="V2" s="341"/>
      <c r="AA2" s="192"/>
      <c r="AB2" s="192"/>
      <c r="AC2" s="342"/>
      <c r="AD2" s="342"/>
      <c r="AE2" s="192"/>
      <c r="AH2" s="192">
        <v>2020</v>
      </c>
      <c r="AK2" s="343">
        <v>2021</v>
      </c>
      <c r="AL2" s="192"/>
      <c r="AP2" s="344"/>
      <c r="BK2" s="345"/>
      <c r="BL2" s="345"/>
      <c r="BM2" s="343">
        <v>2022</v>
      </c>
      <c r="BN2" s="345"/>
      <c r="BO2" s="345"/>
      <c r="BQ2" s="343">
        <v>2022</v>
      </c>
      <c r="BR2" s="343">
        <v>2022</v>
      </c>
      <c r="BT2" s="343">
        <v>2022</v>
      </c>
      <c r="BU2" s="343">
        <v>2022</v>
      </c>
      <c r="BW2" s="343">
        <v>2022</v>
      </c>
      <c r="BX2" s="343">
        <v>2022</v>
      </c>
      <c r="BZ2" s="343">
        <v>2022</v>
      </c>
      <c r="CA2" s="343">
        <v>2022</v>
      </c>
      <c r="CC2" s="343">
        <v>2022</v>
      </c>
      <c r="CD2" s="343">
        <v>2022</v>
      </c>
      <c r="CF2" s="343">
        <v>2022</v>
      </c>
      <c r="CG2" s="343">
        <v>2022</v>
      </c>
      <c r="CI2" s="343">
        <v>2022</v>
      </c>
      <c r="CJ2" s="343">
        <v>2022</v>
      </c>
      <c r="CL2" s="343">
        <v>2022</v>
      </c>
      <c r="CM2" s="343">
        <v>2022</v>
      </c>
      <c r="CO2" s="343">
        <v>2022</v>
      </c>
      <c r="CP2" s="343">
        <v>2022</v>
      </c>
      <c r="CR2" s="343">
        <v>2022</v>
      </c>
      <c r="CS2" s="343">
        <v>2022</v>
      </c>
      <c r="CU2" s="318">
        <v>2022</v>
      </c>
      <c r="CV2" s="198">
        <v>2022</v>
      </c>
      <c r="CW2"/>
      <c r="CX2" s="318">
        <v>2022</v>
      </c>
      <c r="CY2" s="198">
        <v>2022</v>
      </c>
      <c r="DA2" s="343">
        <v>2022</v>
      </c>
      <c r="DC2" s="343">
        <v>2023</v>
      </c>
      <c r="EI2" s="118">
        <v>2023</v>
      </c>
      <c r="EK2" s="420">
        <v>2024</v>
      </c>
      <c r="EV2" s="15"/>
      <c r="EY2" s="15"/>
      <c r="FB2" s="15"/>
      <c r="FE2" s="15"/>
      <c r="FH2" s="15"/>
      <c r="FK2" s="15"/>
      <c r="FN2" s="15"/>
      <c r="FQ2" s="15"/>
      <c r="FT2" s="420">
        <v>2024</v>
      </c>
      <c r="FV2" s="420">
        <v>2025</v>
      </c>
      <c r="FY2" s="15"/>
    </row>
    <row r="3" spans="1:181" ht="45.75" thickBot="1">
      <c r="A3" s="1" t="s">
        <v>0</v>
      </c>
      <c r="B3" s="1" t="s">
        <v>0</v>
      </c>
      <c r="C3" s="4" t="s">
        <v>0</v>
      </c>
      <c r="D3" s="41" t="s">
        <v>1</v>
      </c>
      <c r="E3" s="32" t="s">
        <v>0</v>
      </c>
      <c r="F3" s="41" t="s">
        <v>2</v>
      </c>
      <c r="G3" s="32" t="s">
        <v>0</v>
      </c>
      <c r="H3" s="44" t="s">
        <v>281</v>
      </c>
      <c r="I3" s="47" t="s">
        <v>285</v>
      </c>
      <c r="J3" s="13"/>
      <c r="K3" s="13" t="s">
        <v>331</v>
      </c>
      <c r="L3" s="119" t="s">
        <v>2</v>
      </c>
      <c r="M3" t="s">
        <v>287</v>
      </c>
      <c r="N3" t="s">
        <v>289</v>
      </c>
      <c r="S3" s="118" t="s">
        <v>405</v>
      </c>
      <c r="AA3" s="454" t="s">
        <v>413</v>
      </c>
      <c r="AB3" s="455"/>
      <c r="AE3" s="454" t="s">
        <v>436</v>
      </c>
      <c r="AF3" s="455"/>
      <c r="AH3" s="230">
        <v>2020</v>
      </c>
      <c r="AI3" t="s">
        <v>448</v>
      </c>
      <c r="AK3" s="197" t="s">
        <v>452</v>
      </c>
      <c r="AL3" s="15" t="s">
        <v>455</v>
      </c>
      <c r="AM3" t="s">
        <v>453</v>
      </c>
      <c r="AN3" t="s">
        <v>454</v>
      </c>
      <c r="AP3" s="220" t="s">
        <v>466</v>
      </c>
      <c r="AR3" t="s">
        <v>396</v>
      </c>
      <c r="AU3" s="15" t="s">
        <v>406</v>
      </c>
      <c r="AX3" s="15" t="s">
        <v>411</v>
      </c>
      <c r="BA3" s="15" t="s">
        <v>488</v>
      </c>
      <c r="BD3" s="15" t="s">
        <v>413</v>
      </c>
      <c r="BG3" s="15" t="s">
        <v>494</v>
      </c>
      <c r="BJ3" s="231">
        <v>2021</v>
      </c>
      <c r="BM3" s="197" t="s">
        <v>547</v>
      </c>
      <c r="BQ3" s="300" t="s">
        <v>466</v>
      </c>
      <c r="BR3" s="300" t="s">
        <v>547</v>
      </c>
      <c r="BS3" s="139"/>
      <c r="BT3" s="300" t="s">
        <v>553</v>
      </c>
      <c r="BU3" s="300" t="s">
        <v>547</v>
      </c>
      <c r="BV3" s="139"/>
      <c r="BW3" s="300" t="s">
        <v>396</v>
      </c>
      <c r="BX3" s="300" t="s">
        <v>547</v>
      </c>
      <c r="BZ3" s="300" t="s">
        <v>406</v>
      </c>
      <c r="CA3" s="300" t="s">
        <v>547</v>
      </c>
      <c r="CC3" s="300" t="s">
        <v>411</v>
      </c>
      <c r="CD3" s="300" t="s">
        <v>547</v>
      </c>
      <c r="CF3" s="300" t="s">
        <v>559</v>
      </c>
      <c r="CG3" s="300" t="s">
        <v>547</v>
      </c>
      <c r="CI3" s="300" t="s">
        <v>561</v>
      </c>
      <c r="CJ3" s="300" t="s">
        <v>547</v>
      </c>
      <c r="CL3" s="300" t="s">
        <v>562</v>
      </c>
      <c r="CM3" s="300" t="s">
        <v>547</v>
      </c>
      <c r="CO3" s="300" t="s">
        <v>413</v>
      </c>
      <c r="CP3" s="300" t="s">
        <v>547</v>
      </c>
      <c r="CR3" s="317" t="s">
        <v>436</v>
      </c>
      <c r="CS3" s="300" t="s">
        <v>547</v>
      </c>
      <c r="CU3" s="317" t="s">
        <v>440</v>
      </c>
      <c r="CV3" s="300" t="s">
        <v>547</v>
      </c>
      <c r="CX3" s="317" t="s">
        <v>574</v>
      </c>
      <c r="CY3" s="300" t="s">
        <v>547</v>
      </c>
      <c r="DA3" s="300" t="s">
        <v>442</v>
      </c>
      <c r="DC3" s="300" t="s">
        <v>547</v>
      </c>
      <c r="DE3" s="118" t="s">
        <v>396</v>
      </c>
      <c r="DF3" s="131">
        <v>44984</v>
      </c>
      <c r="DH3" s="118" t="s">
        <v>406</v>
      </c>
      <c r="DI3" s="131">
        <v>45001</v>
      </c>
      <c r="DK3" s="118" t="s">
        <v>608</v>
      </c>
      <c r="DL3" s="131">
        <v>45044</v>
      </c>
      <c r="DN3" s="158" t="s">
        <v>619</v>
      </c>
      <c r="DO3" s="131">
        <v>45046</v>
      </c>
      <c r="DQ3" s="158" t="s">
        <v>413</v>
      </c>
      <c r="DR3" s="131">
        <v>45066</v>
      </c>
      <c r="DT3" s="158" t="s">
        <v>436</v>
      </c>
      <c r="DU3" s="370">
        <v>45124</v>
      </c>
      <c r="DW3" s="158" t="s">
        <v>440</v>
      </c>
      <c r="DX3" s="370">
        <v>45190</v>
      </c>
      <c r="DZ3" s="373" t="s">
        <v>619</v>
      </c>
      <c r="EA3" s="370">
        <v>45208</v>
      </c>
      <c r="EC3" s="158" t="s">
        <v>574</v>
      </c>
      <c r="ED3" s="370">
        <v>45257</v>
      </c>
      <c r="EF3" s="158" t="s">
        <v>648</v>
      </c>
      <c r="EG3" s="370">
        <v>45278</v>
      </c>
      <c r="EI3" s="158" t="s">
        <v>442</v>
      </c>
      <c r="EK3" s="158" t="s">
        <v>659</v>
      </c>
      <c r="EM3" s="373" t="s">
        <v>664</v>
      </c>
      <c r="EN3" s="370">
        <v>45377</v>
      </c>
      <c r="EP3" s="373" t="s">
        <v>665</v>
      </c>
      <c r="EQ3" s="370">
        <v>45408</v>
      </c>
      <c r="ES3" s="373" t="s">
        <v>619</v>
      </c>
      <c r="ET3" s="370">
        <v>45425</v>
      </c>
      <c r="EV3" s="373" t="s">
        <v>619</v>
      </c>
      <c r="EW3" s="370">
        <v>45446</v>
      </c>
      <c r="EY3" s="373" t="s">
        <v>619</v>
      </c>
      <c r="EZ3" s="370">
        <v>45489</v>
      </c>
      <c r="FB3" s="317" t="s">
        <v>674</v>
      </c>
      <c r="FC3" s="370">
        <v>45532</v>
      </c>
      <c r="FE3" s="373" t="s">
        <v>619</v>
      </c>
      <c r="FF3" s="370">
        <v>45545</v>
      </c>
      <c r="FH3" s="373" t="s">
        <v>619</v>
      </c>
      <c r="FI3" s="370">
        <v>45574</v>
      </c>
      <c r="FK3" s="317" t="s">
        <v>677</v>
      </c>
      <c r="FL3" s="370">
        <v>45615</v>
      </c>
      <c r="FN3" s="373" t="s">
        <v>619</v>
      </c>
      <c r="FO3" s="370">
        <v>45621</v>
      </c>
      <c r="FQ3" s="373" t="s">
        <v>619</v>
      </c>
      <c r="FR3" s="370">
        <v>45646</v>
      </c>
      <c r="FT3" s="158" t="s">
        <v>442</v>
      </c>
      <c r="FV3" s="158" t="s">
        <v>659</v>
      </c>
    </row>
    <row r="4" spans="1:181" s="139" customFormat="1" ht="49.5" customHeight="1" thickBot="1">
      <c r="A4" s="301" t="s">
        <v>4</v>
      </c>
      <c r="B4" s="301" t="s">
        <v>5</v>
      </c>
      <c r="C4" s="302" t="s">
        <v>6</v>
      </c>
      <c r="D4" s="303" t="s">
        <v>7</v>
      </c>
      <c r="E4" s="304" t="s">
        <v>8</v>
      </c>
      <c r="F4" s="303" t="s">
        <v>9</v>
      </c>
      <c r="G4" s="304" t="s">
        <v>8</v>
      </c>
      <c r="H4" s="305" t="s">
        <v>309</v>
      </c>
      <c r="I4" s="306" t="s">
        <v>286</v>
      </c>
      <c r="J4" s="139" t="s">
        <v>387</v>
      </c>
      <c r="L4" s="307"/>
      <c r="M4" s="139" t="s">
        <v>288</v>
      </c>
      <c r="N4" s="139" t="s">
        <v>290</v>
      </c>
      <c r="O4" s="139" t="s">
        <v>387</v>
      </c>
      <c r="Q4" s="152" t="s">
        <v>396</v>
      </c>
      <c r="R4" s="153" t="s">
        <v>404</v>
      </c>
      <c r="S4" s="152" t="s">
        <v>406</v>
      </c>
      <c r="T4" s="153" t="s">
        <v>408</v>
      </c>
      <c r="U4" s="153" t="s">
        <v>407</v>
      </c>
      <c r="V4" s="308"/>
      <c r="Y4" s="309" t="s">
        <v>411</v>
      </c>
      <c r="AA4" s="152" t="s">
        <v>413</v>
      </c>
      <c r="AB4" s="152"/>
      <c r="AC4" s="310" t="s">
        <v>434</v>
      </c>
      <c r="AD4" s="310"/>
      <c r="AE4" s="152" t="s">
        <v>436</v>
      </c>
      <c r="AF4" s="311" t="s">
        <v>437</v>
      </c>
      <c r="AH4" s="312" t="s">
        <v>442</v>
      </c>
      <c r="AK4" s="152"/>
      <c r="AL4" s="153"/>
      <c r="AP4" s="313"/>
      <c r="AR4" s="139" t="s">
        <v>467</v>
      </c>
      <c r="AS4" s="139" t="s">
        <v>468</v>
      </c>
      <c r="AU4" s="153" t="s">
        <v>467</v>
      </c>
      <c r="AV4" s="139" t="s">
        <v>468</v>
      </c>
      <c r="AX4" s="153" t="s">
        <v>467</v>
      </c>
      <c r="AY4" s="139" t="s">
        <v>468</v>
      </c>
      <c r="BA4" s="153" t="s">
        <v>467</v>
      </c>
      <c r="BB4" s="139" t="s">
        <v>468</v>
      </c>
      <c r="BD4" s="153" t="s">
        <v>467</v>
      </c>
      <c r="BE4" s="139" t="s">
        <v>468</v>
      </c>
      <c r="BG4" s="153" t="s">
        <v>467</v>
      </c>
      <c r="BH4" s="139" t="s">
        <v>468</v>
      </c>
      <c r="BJ4" s="314" t="s">
        <v>442</v>
      </c>
      <c r="BK4" s="315" t="s">
        <v>499</v>
      </c>
      <c r="BL4" s="316"/>
      <c r="BM4" s="312"/>
      <c r="BN4" s="316" t="s">
        <v>500</v>
      </c>
      <c r="BO4" s="316" t="s">
        <v>501</v>
      </c>
      <c r="BQ4" s="312" t="s">
        <v>467</v>
      </c>
      <c r="BR4" s="312" t="s">
        <v>468</v>
      </c>
      <c r="BT4" s="312" t="s">
        <v>467</v>
      </c>
      <c r="BU4" s="312" t="s">
        <v>468</v>
      </c>
      <c r="BW4" s="312" t="s">
        <v>467</v>
      </c>
      <c r="BX4" s="312" t="s">
        <v>468</v>
      </c>
      <c r="BZ4" s="312" t="s">
        <v>467</v>
      </c>
      <c r="CA4" s="312" t="s">
        <v>468</v>
      </c>
      <c r="CC4" s="312" t="s">
        <v>467</v>
      </c>
      <c r="CD4" s="312" t="s">
        <v>468</v>
      </c>
      <c r="CF4" s="312" t="s">
        <v>467</v>
      </c>
      <c r="CG4" s="312" t="s">
        <v>468</v>
      </c>
      <c r="CI4" s="312" t="s">
        <v>467</v>
      </c>
      <c r="CJ4" s="312" t="s">
        <v>468</v>
      </c>
      <c r="CL4" s="314" t="s">
        <v>467</v>
      </c>
      <c r="CM4" s="312" t="s">
        <v>468</v>
      </c>
      <c r="CO4" s="314" t="s">
        <v>467</v>
      </c>
      <c r="CP4" s="312" t="s">
        <v>468</v>
      </c>
      <c r="CR4" s="314" t="s">
        <v>467</v>
      </c>
      <c r="CS4" s="312" t="s">
        <v>468</v>
      </c>
      <c r="CU4" s="314" t="s">
        <v>467</v>
      </c>
      <c r="CV4" s="312" t="s">
        <v>468</v>
      </c>
      <c r="CX4" s="314" t="s">
        <v>467</v>
      </c>
      <c r="CY4" s="312" t="s">
        <v>468</v>
      </c>
      <c r="DA4" s="314"/>
      <c r="DC4" s="314"/>
      <c r="DE4" s="153" t="s">
        <v>467</v>
      </c>
      <c r="DF4" s="139" t="s">
        <v>468</v>
      </c>
      <c r="DH4" s="153" t="s">
        <v>467</v>
      </c>
      <c r="DI4" s="139" t="s">
        <v>468</v>
      </c>
      <c r="DK4" s="153" t="s">
        <v>467</v>
      </c>
      <c r="DL4" s="139" t="s">
        <v>468</v>
      </c>
      <c r="DN4" s="153" t="s">
        <v>467</v>
      </c>
      <c r="DO4" s="139" t="s">
        <v>468</v>
      </c>
      <c r="DQ4" s="153" t="s">
        <v>467</v>
      </c>
      <c r="DR4" s="139" t="s">
        <v>468</v>
      </c>
      <c r="DT4" s="153" t="s">
        <v>467</v>
      </c>
      <c r="DU4" s="139" t="s">
        <v>468</v>
      </c>
      <c r="DW4" s="153" t="s">
        <v>467</v>
      </c>
      <c r="DX4" s="139" t="s">
        <v>468</v>
      </c>
      <c r="DZ4" s="153" t="s">
        <v>467</v>
      </c>
      <c r="EA4" s="139" t="s">
        <v>468</v>
      </c>
      <c r="EC4" s="153" t="s">
        <v>467</v>
      </c>
      <c r="ED4" s="139" t="s">
        <v>468</v>
      </c>
      <c r="EF4" s="153" t="s">
        <v>467</v>
      </c>
      <c r="EG4" s="139" t="s">
        <v>468</v>
      </c>
      <c r="EI4" s="153"/>
      <c r="EK4" s="153"/>
      <c r="EM4" s="153" t="s">
        <v>467</v>
      </c>
      <c r="EN4" s="139" t="s">
        <v>468</v>
      </c>
      <c r="EP4" s="153" t="s">
        <v>467</v>
      </c>
      <c r="EQ4" s="139" t="s">
        <v>468</v>
      </c>
      <c r="ES4" s="153" t="s">
        <v>467</v>
      </c>
      <c r="ET4" s="139" t="s">
        <v>468</v>
      </c>
      <c r="EV4" s="153" t="s">
        <v>467</v>
      </c>
      <c r="EW4" s="139" t="s">
        <v>468</v>
      </c>
      <c r="EY4" s="153" t="s">
        <v>467</v>
      </c>
      <c r="EZ4" s="139" t="s">
        <v>468</v>
      </c>
      <c r="FB4" s="153" t="s">
        <v>467</v>
      </c>
      <c r="FC4" s="139" t="s">
        <v>468</v>
      </c>
      <c r="FE4" s="153" t="s">
        <v>467</v>
      </c>
      <c r="FF4" s="139" t="s">
        <v>468</v>
      </c>
      <c r="FH4" s="153" t="s">
        <v>467</v>
      </c>
      <c r="FI4" s="139" t="s">
        <v>468</v>
      </c>
      <c r="FK4" s="153" t="s">
        <v>467</v>
      </c>
      <c r="FL4" s="139" t="s">
        <v>468</v>
      </c>
      <c r="FN4" s="153" t="s">
        <v>467</v>
      </c>
      <c r="FO4" s="139" t="s">
        <v>468</v>
      </c>
      <c r="FQ4" s="153" t="s">
        <v>467</v>
      </c>
      <c r="FR4" s="139" t="s">
        <v>468</v>
      </c>
      <c r="FT4" s="153"/>
      <c r="FV4" s="153"/>
      <c r="FY4" s="430"/>
    </row>
    <row r="5" spans="1:181" outlineLevel="1">
      <c r="A5" s="3" t="s">
        <v>106</v>
      </c>
      <c r="B5" s="3" t="s">
        <v>107</v>
      </c>
      <c r="C5" s="5" t="s">
        <v>108</v>
      </c>
      <c r="D5" s="42">
        <v>10000</v>
      </c>
      <c r="E5" s="33">
        <v>0</v>
      </c>
      <c r="F5" s="42">
        <v>0</v>
      </c>
      <c r="G5" s="33">
        <v>0</v>
      </c>
      <c r="H5" s="45">
        <v>0</v>
      </c>
      <c r="I5" s="36">
        <v>0</v>
      </c>
      <c r="J5" s="14"/>
      <c r="K5" t="s">
        <v>332</v>
      </c>
      <c r="L5" s="121">
        <v>10000</v>
      </c>
      <c r="M5" s="17" t="e">
        <f>L5/F5-1</f>
        <v>#DIV/0!</v>
      </c>
      <c r="N5" s="17" t="e">
        <f>L5/I5-1</f>
        <v>#DIV/0!</v>
      </c>
      <c r="Q5" s="118">
        <v>10000</v>
      </c>
      <c r="R5" s="15">
        <v>0</v>
      </c>
      <c r="S5" s="118">
        <v>10000</v>
      </c>
      <c r="T5" s="157">
        <f>S5-Q5</f>
        <v>0</v>
      </c>
      <c r="U5" s="16">
        <f>S5/Q5-1</f>
        <v>0</v>
      </c>
      <c r="Y5" s="118">
        <v>10000</v>
      </c>
      <c r="AA5" s="118">
        <v>9000</v>
      </c>
      <c r="AB5" s="185">
        <f>AA5-Y5</f>
        <v>-1000</v>
      </c>
      <c r="AC5" s="187">
        <f>AA5-Y5</f>
        <v>-1000</v>
      </c>
      <c r="AD5" s="187"/>
      <c r="AE5" s="118">
        <v>9000</v>
      </c>
      <c r="AF5" s="182"/>
      <c r="AH5" s="15">
        <v>9000</v>
      </c>
      <c r="AI5" s="17">
        <f>AH5/AE5</f>
        <v>1</v>
      </c>
      <c r="AK5" s="118">
        <v>10000</v>
      </c>
      <c r="AS5" s="15">
        <f>AR5+AK5</f>
        <v>10000</v>
      </c>
      <c r="AV5" s="15">
        <f>AS5+AU5</f>
        <v>10000</v>
      </c>
      <c r="AX5" s="15"/>
      <c r="AY5" s="15">
        <f>AV5+AX5</f>
        <v>10000</v>
      </c>
      <c r="BB5" s="15">
        <f>AY5+BA5</f>
        <v>10000</v>
      </c>
      <c r="BD5" s="15">
        <v>-1000</v>
      </c>
      <c r="BE5" s="15">
        <f>BB5+BD5</f>
        <v>9000</v>
      </c>
      <c r="BG5" s="15"/>
      <c r="BH5" s="15">
        <f>BE5+BG5</f>
        <v>9000</v>
      </c>
      <c r="BJ5" s="15">
        <v>9000</v>
      </c>
      <c r="BK5" s="235">
        <f>BJ5/BH5</f>
        <v>1</v>
      </c>
      <c r="BM5" s="15">
        <v>10000</v>
      </c>
      <c r="BN5" s="235">
        <f>BM5/BJ5</f>
        <v>1.1111111111111112</v>
      </c>
      <c r="BO5" s="235">
        <f>BM5/BH5</f>
        <v>1.1111111111111112</v>
      </c>
      <c r="BQ5" s="15"/>
      <c r="BR5" s="15">
        <f>BM5+BQ5</f>
        <v>10000</v>
      </c>
      <c r="BT5" s="15"/>
      <c r="BU5" s="15">
        <f>BR5+BT5</f>
        <v>10000</v>
      </c>
      <c r="BW5" s="15"/>
      <c r="BX5" s="15">
        <f>BU5+BW5</f>
        <v>10000</v>
      </c>
      <c r="BZ5" s="15"/>
      <c r="CA5" s="15">
        <f>BX5+BZ5</f>
        <v>10000</v>
      </c>
      <c r="CC5" s="15"/>
      <c r="CD5" s="15">
        <f>CA5+CC5</f>
        <v>10000</v>
      </c>
      <c r="CF5" s="15"/>
      <c r="CG5" s="15">
        <f>CD5+CF5</f>
        <v>10000</v>
      </c>
      <c r="CI5" s="15"/>
      <c r="CJ5" s="15">
        <f>CG5+CI5</f>
        <v>10000</v>
      </c>
      <c r="CM5" s="15">
        <f>CJ5+CL5</f>
        <v>10000</v>
      </c>
      <c r="CP5" s="15">
        <f>CM5+CO5</f>
        <v>10000</v>
      </c>
      <c r="CS5" s="15">
        <f>CP5+CR5</f>
        <v>10000</v>
      </c>
      <c r="CV5" s="15">
        <f>CS5+CU5</f>
        <v>10000</v>
      </c>
      <c r="CY5" s="15">
        <f>CV5+CX5</f>
        <v>10000</v>
      </c>
      <c r="DA5" s="15">
        <v>10000</v>
      </c>
      <c r="DC5" s="15">
        <v>10000</v>
      </c>
      <c r="DE5" s="15"/>
      <c r="DF5" s="15">
        <f>DC5+DE5</f>
        <v>10000</v>
      </c>
      <c r="DH5" s="15"/>
      <c r="DI5" s="15">
        <f>DF5+DH5</f>
        <v>10000</v>
      </c>
      <c r="DK5" s="15"/>
      <c r="DL5" s="15">
        <f>DI5+DK5</f>
        <v>10000</v>
      </c>
      <c r="DN5" s="15"/>
      <c r="DO5" s="15">
        <f>DL5+DN5</f>
        <v>10000</v>
      </c>
      <c r="DQ5" s="15"/>
      <c r="DR5" s="15">
        <f>DO5+DQ5</f>
        <v>10000</v>
      </c>
      <c r="DT5" s="15"/>
      <c r="DU5" s="15">
        <f>DR5+DT5</f>
        <v>10000</v>
      </c>
      <c r="DW5" s="15"/>
      <c r="DX5" s="15">
        <f>DU5+DW5</f>
        <v>10000</v>
      </c>
      <c r="DZ5" s="15"/>
      <c r="EA5" s="15">
        <f>DX5+DZ5</f>
        <v>10000</v>
      </c>
      <c r="EC5" s="15"/>
      <c r="ED5" s="15">
        <f>EA5+EC5</f>
        <v>10000</v>
      </c>
      <c r="EF5" s="15"/>
      <c r="EG5" s="15">
        <f>ED5+EF5</f>
        <v>10000</v>
      </c>
      <c r="EI5" s="15">
        <v>10000</v>
      </c>
      <c r="EK5" s="15">
        <v>10000</v>
      </c>
      <c r="EM5" s="15"/>
      <c r="EN5" s="15">
        <f>EK5+EM5</f>
        <v>10000</v>
      </c>
      <c r="EP5" s="15"/>
      <c r="EQ5" s="15">
        <f>EN5+EP5</f>
        <v>10000</v>
      </c>
      <c r="ES5" s="15"/>
      <c r="ET5" s="15">
        <f>EQ5+ES5</f>
        <v>10000</v>
      </c>
      <c r="EV5" s="227">
        <v>-3000</v>
      </c>
      <c r="EW5" s="15">
        <f>ET5+EV5</f>
        <v>7000</v>
      </c>
      <c r="EZ5" s="15">
        <f>EW5+EY5</f>
        <v>7000</v>
      </c>
      <c r="FC5" s="15">
        <f>EZ5+FB5</f>
        <v>7000</v>
      </c>
      <c r="FF5" s="15">
        <f>FC5+FE5</f>
        <v>7000</v>
      </c>
      <c r="FI5" s="15">
        <f>FF5+FH5</f>
        <v>7000</v>
      </c>
      <c r="FL5" s="15">
        <f>FI5+FK5</f>
        <v>7000</v>
      </c>
      <c r="FO5" s="15">
        <f>FL5+FN5</f>
        <v>7000</v>
      </c>
      <c r="FR5" s="15">
        <v>7000</v>
      </c>
      <c r="FT5" s="15">
        <v>7000</v>
      </c>
      <c r="FV5" s="15">
        <v>10000</v>
      </c>
      <c r="FW5" s="235">
        <f t="shared" ref="FW5" si="0">FV5/FT5</f>
        <v>1.4285714285714286</v>
      </c>
    </row>
    <row r="6" spans="1:181" outlineLevel="1">
      <c r="A6" s="1" t="s">
        <v>106</v>
      </c>
      <c r="B6" s="4" t="s">
        <v>46</v>
      </c>
      <c r="C6" s="4" t="s">
        <v>109</v>
      </c>
      <c r="D6" s="43">
        <v>10000</v>
      </c>
      <c r="E6" s="34">
        <v>0</v>
      </c>
      <c r="F6" s="43">
        <v>0</v>
      </c>
      <c r="G6" s="34">
        <v>0</v>
      </c>
      <c r="H6" s="46">
        <v>0</v>
      </c>
      <c r="I6" s="36"/>
      <c r="J6" s="14"/>
      <c r="Y6" s="118"/>
      <c r="AF6" s="182"/>
      <c r="AH6" s="15"/>
      <c r="AX6" s="15"/>
      <c r="BD6" s="15"/>
      <c r="BG6" s="15"/>
      <c r="DE6" s="15"/>
      <c r="DH6" s="15"/>
      <c r="DK6" s="15"/>
      <c r="DN6" s="15"/>
      <c r="DQ6" s="15"/>
      <c r="DT6" s="15"/>
      <c r="DW6" s="15"/>
      <c r="DZ6" s="15"/>
      <c r="EC6" s="15"/>
      <c r="EF6" s="15"/>
      <c r="EK6" s="15"/>
      <c r="EM6" s="15"/>
      <c r="EP6" s="15"/>
      <c r="ES6" s="15"/>
    </row>
    <row r="7" spans="1:181" outlineLevel="1">
      <c r="A7" s="1" t="s">
        <v>110</v>
      </c>
      <c r="B7" s="4" t="s">
        <v>48</v>
      </c>
      <c r="C7" s="4" t="s">
        <v>111</v>
      </c>
      <c r="D7" s="43">
        <v>10000</v>
      </c>
      <c r="E7" s="34">
        <v>0</v>
      </c>
      <c r="F7" s="43">
        <v>0</v>
      </c>
      <c r="G7" s="34">
        <v>0</v>
      </c>
      <c r="H7" s="46">
        <v>0</v>
      </c>
      <c r="I7" s="36"/>
      <c r="J7" s="14"/>
      <c r="Y7" s="118"/>
      <c r="AF7" s="182"/>
      <c r="AH7" s="15"/>
      <c r="AX7" s="15"/>
      <c r="BD7" s="15"/>
      <c r="BG7" s="15"/>
      <c r="DE7" s="15"/>
      <c r="DH7" s="15"/>
      <c r="DK7" s="15"/>
      <c r="DN7" s="15"/>
      <c r="DQ7" s="15"/>
      <c r="DT7" s="15"/>
      <c r="DW7" s="15"/>
      <c r="DZ7" s="15"/>
      <c r="EC7" s="15"/>
      <c r="EF7" s="15"/>
      <c r="EK7" s="15"/>
      <c r="EM7" s="15"/>
      <c r="EP7" s="15"/>
      <c r="ES7" s="15"/>
    </row>
    <row r="8" spans="1:181" ht="16.5" customHeight="1" thickBot="1">
      <c r="A8" s="54" t="s">
        <v>106</v>
      </c>
      <c r="B8" s="55" t="s">
        <v>316</v>
      </c>
      <c r="C8" s="283" t="s">
        <v>109</v>
      </c>
      <c r="D8" s="57">
        <f>D5</f>
        <v>10000</v>
      </c>
      <c r="E8" s="58"/>
      <c r="F8" s="57">
        <f>F5</f>
        <v>0</v>
      </c>
      <c r="G8" s="58"/>
      <c r="H8" s="57"/>
      <c r="I8" s="57">
        <f>I5</f>
        <v>0</v>
      </c>
      <c r="J8" s="59"/>
      <c r="K8" s="60"/>
      <c r="L8" s="122">
        <f>L5</f>
        <v>10000</v>
      </c>
      <c r="M8" s="61" t="e">
        <f>L8/F8-1</f>
        <v>#DIV/0!</v>
      </c>
      <c r="N8" s="61" t="e">
        <f>L8/I8-1</f>
        <v>#DIV/0!</v>
      </c>
      <c r="Q8" s="122">
        <f>Q5</f>
        <v>10000</v>
      </c>
      <c r="R8" s="122">
        <f>R5</f>
        <v>0</v>
      </c>
      <c r="S8" s="122">
        <f>S5</f>
        <v>10000</v>
      </c>
      <c r="T8" s="122">
        <f>T5</f>
        <v>0</v>
      </c>
      <c r="U8" s="155">
        <f>S8/Q8-1</f>
        <v>0</v>
      </c>
      <c r="Y8" s="122">
        <f>Y5</f>
        <v>10000</v>
      </c>
      <c r="Z8" s="122">
        <f>Z5</f>
        <v>0</v>
      </c>
      <c r="AA8" s="122">
        <f>AA5</f>
        <v>9000</v>
      </c>
      <c r="AB8" s="122">
        <f>AB5</f>
        <v>-1000</v>
      </c>
      <c r="AE8" s="122">
        <f>AE5</f>
        <v>9000</v>
      </c>
      <c r="AF8" s="182"/>
      <c r="AH8" s="122">
        <f>AH5</f>
        <v>9000</v>
      </c>
      <c r="AI8" s="17">
        <f>AH8/AE8</f>
        <v>1</v>
      </c>
      <c r="AK8" s="122">
        <f>AK5</f>
        <v>10000</v>
      </c>
      <c r="AL8" s="193">
        <f>AK8/L8</f>
        <v>1</v>
      </c>
      <c r="AM8" s="17">
        <f>AK8/AE8</f>
        <v>1.1111111111111112</v>
      </c>
      <c r="AN8" s="17">
        <f>AK8/AH8</f>
        <v>1.1111111111111112</v>
      </c>
      <c r="AR8" s="122">
        <f>AR5</f>
        <v>0</v>
      </c>
      <c r="AS8" s="122">
        <f>AS5</f>
        <v>10000</v>
      </c>
      <c r="AU8" s="122">
        <f>AU5</f>
        <v>0</v>
      </c>
      <c r="AV8" s="122">
        <f>AV5</f>
        <v>10000</v>
      </c>
      <c r="AX8" s="122">
        <f>AX5</f>
        <v>0</v>
      </c>
      <c r="AY8" s="122">
        <f>AY5</f>
        <v>10000</v>
      </c>
      <c r="BA8" s="122">
        <f>BA5</f>
        <v>0</v>
      </c>
      <c r="BB8" s="122">
        <f>BB5</f>
        <v>10000</v>
      </c>
      <c r="BD8" s="122">
        <f>BD5</f>
        <v>-1000</v>
      </c>
      <c r="BE8" s="122">
        <f>BE5</f>
        <v>9000</v>
      </c>
      <c r="BG8" s="122">
        <f>BG5</f>
        <v>0</v>
      </c>
      <c r="BH8" s="122">
        <f>BH5</f>
        <v>9000</v>
      </c>
      <c r="BJ8" s="122">
        <f>BJ5</f>
        <v>9000</v>
      </c>
      <c r="BK8" s="236">
        <f t="shared" ref="BK8" si="1">BJ8/BH8</f>
        <v>1</v>
      </c>
      <c r="BM8" s="122">
        <f>BM5</f>
        <v>10000</v>
      </c>
      <c r="BN8" s="236">
        <f t="shared" ref="BN8" si="2">BM8/BJ8</f>
        <v>1.1111111111111112</v>
      </c>
      <c r="BO8" s="236">
        <f t="shared" ref="BO8" si="3">BM8/BH8</f>
        <v>1.1111111111111112</v>
      </c>
      <c r="BQ8" s="122">
        <f>BQ5</f>
        <v>0</v>
      </c>
      <c r="BR8" s="122">
        <f>BR5</f>
        <v>10000</v>
      </c>
      <c r="BT8" s="122">
        <f>BT5</f>
        <v>0</v>
      </c>
      <c r="BU8" s="122">
        <f>BU5</f>
        <v>10000</v>
      </c>
      <c r="BW8" s="122">
        <f>BW5</f>
        <v>0</v>
      </c>
      <c r="BX8" s="122">
        <f>BX5</f>
        <v>10000</v>
      </c>
      <c r="BZ8" s="122">
        <f>BZ5</f>
        <v>0</v>
      </c>
      <c r="CA8" s="122">
        <f>CA5</f>
        <v>10000</v>
      </c>
      <c r="CC8" s="122">
        <f>CC5</f>
        <v>0</v>
      </c>
      <c r="CD8" s="122">
        <f>CD5</f>
        <v>10000</v>
      </c>
      <c r="CF8" s="122">
        <f>CF5</f>
        <v>0</v>
      </c>
      <c r="CG8" s="122">
        <f>CG5</f>
        <v>10000</v>
      </c>
      <c r="CI8" s="122">
        <f>CI5</f>
        <v>0</v>
      </c>
      <c r="CJ8" s="122">
        <f>CJ5</f>
        <v>10000</v>
      </c>
      <c r="CL8" s="319">
        <f>CL5</f>
        <v>0</v>
      </c>
      <c r="CM8" s="122">
        <f>CM5</f>
        <v>10000</v>
      </c>
      <c r="CO8" s="122">
        <f>CO5</f>
        <v>0</v>
      </c>
      <c r="CP8" s="122">
        <f>CP5</f>
        <v>10000</v>
      </c>
      <c r="CR8" s="122">
        <f>CR5</f>
        <v>0</v>
      </c>
      <c r="CS8" s="122">
        <f>CS5</f>
        <v>10000</v>
      </c>
      <c r="CU8" s="122">
        <f>CU5</f>
        <v>0</v>
      </c>
      <c r="CV8" s="122">
        <f>CV5</f>
        <v>10000</v>
      </c>
      <c r="CX8" s="122">
        <f>CX5</f>
        <v>0</v>
      </c>
      <c r="CY8" s="122">
        <f>CY5</f>
        <v>10000</v>
      </c>
      <c r="DA8" s="122">
        <f>DA5</f>
        <v>10000</v>
      </c>
      <c r="DC8" s="122">
        <f>DC5</f>
        <v>10000</v>
      </c>
      <c r="DE8" s="122">
        <f>DE5</f>
        <v>0</v>
      </c>
      <c r="DF8" s="122">
        <f>DF5</f>
        <v>10000</v>
      </c>
      <c r="DH8" s="122">
        <f>DH5</f>
        <v>0</v>
      </c>
      <c r="DI8" s="122">
        <f>DI5</f>
        <v>10000</v>
      </c>
      <c r="DK8" s="122">
        <f>DK5</f>
        <v>0</v>
      </c>
      <c r="DL8" s="122">
        <f>DL5</f>
        <v>10000</v>
      </c>
      <c r="DN8" s="122">
        <f>DN5</f>
        <v>0</v>
      </c>
      <c r="DO8" s="122">
        <f>DO5</f>
        <v>10000</v>
      </c>
      <c r="DQ8" s="122">
        <f>DQ5</f>
        <v>0</v>
      </c>
      <c r="DR8" s="122">
        <f>DR5</f>
        <v>10000</v>
      </c>
      <c r="DT8" s="122">
        <f>DT5</f>
        <v>0</v>
      </c>
      <c r="DU8" s="122">
        <f>DU5</f>
        <v>10000</v>
      </c>
      <c r="DW8" s="122">
        <f>DW5</f>
        <v>0</v>
      </c>
      <c r="DX8" s="122">
        <f>DX5</f>
        <v>10000</v>
      </c>
      <c r="DZ8" s="122">
        <f>DZ5</f>
        <v>0</v>
      </c>
      <c r="EA8" s="122">
        <f>EA5</f>
        <v>10000</v>
      </c>
      <c r="EC8" s="122">
        <f>EC5</f>
        <v>0</v>
      </c>
      <c r="ED8" s="122">
        <f>ED5</f>
        <v>10000</v>
      </c>
      <c r="EF8" s="122">
        <f>EF5</f>
        <v>0</v>
      </c>
      <c r="EG8" s="122">
        <f>EG5</f>
        <v>10000</v>
      </c>
      <c r="EI8" s="122">
        <f>EI5</f>
        <v>10000</v>
      </c>
      <c r="EK8" s="122">
        <f>EK5</f>
        <v>10000</v>
      </c>
      <c r="EL8" s="377">
        <f>EK8/EI8-1</f>
        <v>0</v>
      </c>
      <c r="EM8" s="122">
        <f>EM5</f>
        <v>0</v>
      </c>
      <c r="EN8" s="122">
        <f>EN5</f>
        <v>10000</v>
      </c>
      <c r="EP8" s="122">
        <f>EP5</f>
        <v>0</v>
      </c>
      <c r="EQ8" s="122">
        <f>EQ5</f>
        <v>10000</v>
      </c>
      <c r="ES8" s="122">
        <f>ES5</f>
        <v>0</v>
      </c>
      <c r="ET8" s="122">
        <f>ET5</f>
        <v>10000</v>
      </c>
      <c r="EV8" s="122">
        <f>EV5</f>
        <v>-3000</v>
      </c>
      <c r="EW8" s="122">
        <f>EW5</f>
        <v>7000</v>
      </c>
      <c r="EY8" s="122">
        <f>EY5</f>
        <v>0</v>
      </c>
      <c r="EZ8" s="122">
        <f>EZ5</f>
        <v>7000</v>
      </c>
      <c r="FB8" s="122">
        <f>FB5</f>
        <v>0</v>
      </c>
      <c r="FC8" s="122">
        <f>FC5</f>
        <v>7000</v>
      </c>
      <c r="FE8" s="122">
        <f>FE5</f>
        <v>0</v>
      </c>
      <c r="FF8" s="122">
        <f>FF5</f>
        <v>7000</v>
      </c>
      <c r="FH8" s="122">
        <f>FH5</f>
        <v>0</v>
      </c>
      <c r="FI8" s="122">
        <f>FI5</f>
        <v>7000</v>
      </c>
      <c r="FK8" s="122">
        <f>FK5</f>
        <v>0</v>
      </c>
      <c r="FL8" s="122">
        <f>FL5</f>
        <v>7000</v>
      </c>
      <c r="FN8" s="122">
        <f>FN5</f>
        <v>0</v>
      </c>
      <c r="FO8" s="122">
        <f>FO5</f>
        <v>7000</v>
      </c>
      <c r="FQ8" s="122">
        <v>0</v>
      </c>
      <c r="FR8" s="122">
        <v>7000</v>
      </c>
      <c r="FT8" s="122">
        <f>FT5</f>
        <v>7000</v>
      </c>
      <c r="FV8" s="122">
        <f>FV5</f>
        <v>10000</v>
      </c>
      <c r="FW8" s="235">
        <f t="shared" ref="FW8:FW10" si="4">FV8/FT8</f>
        <v>1.4285714285714286</v>
      </c>
    </row>
    <row r="9" spans="1:181" ht="16.5" customHeight="1" thickTop="1">
      <c r="A9" s="13" t="s">
        <v>670</v>
      </c>
      <c r="B9" s="1" t="s">
        <v>115</v>
      </c>
      <c r="C9" s="4" t="s">
        <v>116</v>
      </c>
      <c r="D9" s="36"/>
      <c r="E9" s="51"/>
      <c r="F9" s="36"/>
      <c r="G9" s="51"/>
      <c r="H9" s="36"/>
      <c r="I9" s="36"/>
      <c r="J9" s="14"/>
      <c r="L9" s="121"/>
      <c r="M9" s="176"/>
      <c r="N9" s="176"/>
      <c r="Q9" s="121"/>
      <c r="R9" s="121"/>
      <c r="S9" s="121"/>
      <c r="T9" s="121"/>
      <c r="U9" s="223"/>
      <c r="V9"/>
      <c r="Y9" s="121"/>
      <c r="Z9" s="121"/>
      <c r="AA9" s="121"/>
      <c r="AB9" s="121"/>
      <c r="AE9" s="121"/>
      <c r="AF9" s="187"/>
      <c r="AH9" s="121"/>
      <c r="AI9" s="224"/>
      <c r="AK9" s="121"/>
      <c r="AL9" s="193"/>
      <c r="AM9" s="224"/>
      <c r="AN9" s="224"/>
      <c r="AP9"/>
      <c r="AR9" s="121"/>
      <c r="AS9" s="121"/>
      <c r="AU9" s="121"/>
      <c r="AV9" s="121"/>
      <c r="AX9" s="121"/>
      <c r="AY9" s="121"/>
      <c r="BA9" s="121"/>
      <c r="BB9" s="121"/>
      <c r="BD9" s="121"/>
      <c r="BE9" s="121"/>
      <c r="BG9" s="121"/>
      <c r="BH9" s="121"/>
      <c r="BJ9" s="121"/>
      <c r="BK9" s="291"/>
      <c r="BM9" s="121"/>
      <c r="BN9" s="291"/>
      <c r="BO9" s="291"/>
      <c r="BQ9" s="121"/>
      <c r="BR9" s="121"/>
      <c r="BT9" s="121"/>
      <c r="BU9" s="121"/>
      <c r="BW9" s="121"/>
      <c r="BX9" s="121"/>
      <c r="BZ9" s="121"/>
      <c r="CA9" s="121"/>
      <c r="CC9" s="121"/>
      <c r="CD9" s="121"/>
      <c r="CF9" s="121"/>
      <c r="CG9" s="121"/>
      <c r="CI9" s="121"/>
      <c r="CJ9" s="121"/>
      <c r="CL9" s="121"/>
      <c r="CM9" s="121"/>
      <c r="CO9" s="121"/>
      <c r="CP9" s="121"/>
      <c r="CR9" s="121"/>
      <c r="CS9" s="121"/>
      <c r="CU9" s="121"/>
      <c r="CV9" s="121"/>
      <c r="CX9" s="121"/>
      <c r="CY9" s="121"/>
      <c r="DA9" s="121"/>
      <c r="DC9" s="121"/>
      <c r="DE9" s="121"/>
      <c r="DF9" s="121"/>
      <c r="DH9" s="121"/>
      <c r="DI9" s="121"/>
      <c r="DK9" s="121"/>
      <c r="DL9" s="121"/>
      <c r="DN9" s="121"/>
      <c r="DO9" s="121"/>
      <c r="DQ9" s="121"/>
      <c r="DR9" s="121"/>
      <c r="DT9" s="121"/>
      <c r="DU9" s="121"/>
      <c r="DW9" s="121"/>
      <c r="DX9" s="121"/>
      <c r="DZ9" s="121"/>
      <c r="EA9" s="121"/>
      <c r="EC9" s="121"/>
      <c r="ED9" s="121"/>
      <c r="EF9" s="121"/>
      <c r="EG9" s="121"/>
      <c r="EI9" s="121"/>
      <c r="EK9" s="121"/>
      <c r="EL9" s="403"/>
      <c r="EM9" s="121"/>
      <c r="EN9" s="121"/>
      <c r="EP9" s="121"/>
      <c r="EQ9" s="121"/>
      <c r="ES9" s="121"/>
      <c r="ET9" s="121"/>
      <c r="EV9" s="121"/>
      <c r="EW9" s="121"/>
      <c r="EY9" s="299">
        <v>7700</v>
      </c>
      <c r="EZ9" s="15">
        <f>EW9+EY9</f>
        <v>7700</v>
      </c>
      <c r="FB9" s="36"/>
      <c r="FC9" s="15">
        <f>EZ9+FB9</f>
        <v>7700</v>
      </c>
      <c r="FE9" s="36"/>
      <c r="FF9" s="15">
        <f>FC9+FE9</f>
        <v>7700</v>
      </c>
      <c r="FH9" s="36"/>
      <c r="FI9" s="15">
        <f>FF9+FH9</f>
        <v>7700</v>
      </c>
      <c r="FK9" s="36"/>
      <c r="FL9" s="15">
        <f>FI9+FK9</f>
        <v>7700</v>
      </c>
      <c r="FN9" s="36"/>
      <c r="FO9" s="15">
        <f>FL9+FN9</f>
        <v>7700</v>
      </c>
      <c r="FQ9" s="36"/>
      <c r="FR9" s="15">
        <v>7700</v>
      </c>
      <c r="FT9" s="36">
        <v>7642.7</v>
      </c>
      <c r="FV9" s="121"/>
      <c r="FW9" s="235">
        <f t="shared" si="4"/>
        <v>0</v>
      </c>
    </row>
    <row r="10" spans="1:181" ht="16.5" customHeight="1" thickBot="1">
      <c r="A10" s="54" t="s">
        <v>670</v>
      </c>
      <c r="B10" s="55" t="s">
        <v>316</v>
      </c>
      <c r="C10" s="283" t="s">
        <v>671</v>
      </c>
      <c r="D10" s="36"/>
      <c r="E10" s="51"/>
      <c r="F10" s="36"/>
      <c r="G10" s="51"/>
      <c r="H10" s="36"/>
      <c r="I10" s="36"/>
      <c r="J10" s="14"/>
      <c r="L10" s="121"/>
      <c r="M10" s="176"/>
      <c r="N10" s="176"/>
      <c r="Q10" s="121"/>
      <c r="R10" s="121"/>
      <c r="S10" s="121"/>
      <c r="T10" s="121"/>
      <c r="U10" s="223"/>
      <c r="V10"/>
      <c r="Y10" s="121"/>
      <c r="Z10" s="121"/>
      <c r="AA10" s="121"/>
      <c r="AB10" s="121"/>
      <c r="AE10" s="121"/>
      <c r="AF10" s="187"/>
      <c r="AH10" s="121"/>
      <c r="AI10" s="224"/>
      <c r="AK10" s="121"/>
      <c r="AL10" s="193"/>
      <c r="AM10" s="224"/>
      <c r="AN10" s="224"/>
      <c r="AP10"/>
      <c r="AR10" s="121"/>
      <c r="AS10" s="121"/>
      <c r="AU10" s="121"/>
      <c r="AV10" s="121"/>
      <c r="AX10" s="121"/>
      <c r="AY10" s="121"/>
      <c r="BA10" s="121"/>
      <c r="BB10" s="121"/>
      <c r="BD10" s="121"/>
      <c r="BE10" s="121"/>
      <c r="BG10" s="121"/>
      <c r="BH10" s="121"/>
      <c r="BJ10" s="121"/>
      <c r="BK10" s="291"/>
      <c r="BM10" s="121"/>
      <c r="BN10" s="291"/>
      <c r="BO10" s="291"/>
      <c r="BQ10" s="121"/>
      <c r="BR10" s="121"/>
      <c r="BT10" s="121"/>
      <c r="BU10" s="121"/>
      <c r="BW10" s="121"/>
      <c r="BX10" s="121"/>
      <c r="BZ10" s="121"/>
      <c r="CA10" s="121"/>
      <c r="CC10" s="121"/>
      <c r="CD10" s="121"/>
      <c r="CF10" s="121"/>
      <c r="CG10" s="121"/>
      <c r="CI10" s="121"/>
      <c r="CJ10" s="121"/>
      <c r="CL10" s="121"/>
      <c r="CM10" s="121"/>
      <c r="CO10" s="121"/>
      <c r="CP10" s="121"/>
      <c r="CR10" s="121"/>
      <c r="CS10" s="121"/>
      <c r="CU10" s="121"/>
      <c r="CV10" s="121"/>
      <c r="CX10" s="121"/>
      <c r="CY10" s="121"/>
      <c r="DA10" s="121"/>
      <c r="DC10" s="121"/>
      <c r="DE10" s="121"/>
      <c r="DF10" s="121"/>
      <c r="DH10" s="121"/>
      <c r="DI10" s="121"/>
      <c r="DK10" s="121"/>
      <c r="DL10" s="121"/>
      <c r="DN10" s="121"/>
      <c r="DO10" s="121"/>
      <c r="DQ10" s="121"/>
      <c r="DR10" s="121"/>
      <c r="DT10" s="121"/>
      <c r="DU10" s="121"/>
      <c r="DW10" s="121"/>
      <c r="DX10" s="121"/>
      <c r="DZ10" s="121"/>
      <c r="EA10" s="121"/>
      <c r="EC10" s="121"/>
      <c r="ED10" s="121"/>
      <c r="EF10" s="121"/>
      <c r="EG10" s="121"/>
      <c r="EI10" s="121"/>
      <c r="EK10" s="121"/>
      <c r="EL10" s="403"/>
      <c r="EM10" s="121"/>
      <c r="EN10" s="121"/>
      <c r="EP10" s="121"/>
      <c r="EQ10" s="121"/>
      <c r="ES10" s="121"/>
      <c r="ET10" s="121"/>
      <c r="EV10" s="121"/>
      <c r="EW10" s="121"/>
      <c r="EY10" s="122">
        <f>EY9</f>
        <v>7700</v>
      </c>
      <c r="EZ10" s="122">
        <f>EZ9</f>
        <v>7700</v>
      </c>
      <c r="FB10" s="122">
        <f>FB9</f>
        <v>0</v>
      </c>
      <c r="FC10" s="122">
        <f>FC9</f>
        <v>7700</v>
      </c>
      <c r="FE10" s="122">
        <f>FE9</f>
        <v>0</v>
      </c>
      <c r="FF10" s="122">
        <f>FF9</f>
        <v>7700</v>
      </c>
      <c r="FH10" s="122">
        <f>FH9</f>
        <v>0</v>
      </c>
      <c r="FI10" s="122">
        <f>FI9</f>
        <v>7700</v>
      </c>
      <c r="FK10" s="122">
        <f>FK9</f>
        <v>0</v>
      </c>
      <c r="FL10" s="122">
        <f>FL9</f>
        <v>7700</v>
      </c>
      <c r="FN10" s="122">
        <f>FN9</f>
        <v>0</v>
      </c>
      <c r="FO10" s="122">
        <f>FO9</f>
        <v>7700</v>
      </c>
      <c r="FQ10" s="122">
        <v>0</v>
      </c>
      <c r="FR10" s="122">
        <v>7700</v>
      </c>
      <c r="FT10" s="122">
        <f>FT9</f>
        <v>7642.7</v>
      </c>
      <c r="FV10" s="122">
        <f>FV9</f>
        <v>0</v>
      </c>
      <c r="FW10" s="235">
        <f t="shared" si="4"/>
        <v>0</v>
      </c>
    </row>
    <row r="11" spans="1:181" ht="16.5" customHeight="1" thickTop="1">
      <c r="A11" s="1" t="s">
        <v>297</v>
      </c>
      <c r="B11" s="1" t="s">
        <v>146</v>
      </c>
      <c r="C11" s="4" t="s">
        <v>147</v>
      </c>
      <c r="D11" s="36"/>
      <c r="E11" s="51"/>
      <c r="F11" s="36"/>
      <c r="G11" s="51"/>
      <c r="H11" s="36"/>
      <c r="I11" s="36"/>
      <c r="J11" s="14"/>
      <c r="L11" s="121"/>
      <c r="M11" s="176"/>
      <c r="N11" s="176"/>
      <c r="Q11" s="121"/>
      <c r="R11" s="121"/>
      <c r="S11" s="121"/>
      <c r="T11" s="121"/>
      <c r="U11" s="223"/>
      <c r="V11"/>
      <c r="Y11" s="121"/>
      <c r="Z11" s="121"/>
      <c r="AA11" s="121"/>
      <c r="AB11" s="121"/>
      <c r="AE11" s="121"/>
      <c r="AF11" s="187"/>
      <c r="AH11" s="121"/>
      <c r="AI11" s="224"/>
      <c r="AK11" s="121"/>
      <c r="AL11" s="193"/>
      <c r="AM11" s="224"/>
      <c r="AN11" s="224"/>
      <c r="AP11"/>
      <c r="AR11" s="121"/>
      <c r="AS11" s="121"/>
      <c r="AU11" s="121"/>
      <c r="AV11" s="121"/>
      <c r="AX11" s="121"/>
      <c r="AY11" s="121"/>
      <c r="BA11" s="121"/>
      <c r="BB11" s="121"/>
      <c r="BD11" s="121"/>
      <c r="BE11" s="121"/>
      <c r="BG11" s="121"/>
      <c r="BH11" s="121"/>
      <c r="BJ11" s="121"/>
      <c r="BK11" s="291"/>
      <c r="BM11" s="121"/>
      <c r="BN11" s="291"/>
      <c r="BO11" s="291"/>
      <c r="BQ11" s="121"/>
      <c r="BR11" s="121"/>
      <c r="BT11" s="121"/>
      <c r="BU11" s="121"/>
      <c r="BW11" s="121"/>
      <c r="BX11" s="121"/>
      <c r="BZ11" s="121"/>
      <c r="CA11" s="121"/>
      <c r="CC11" s="121"/>
      <c r="CD11" s="121"/>
      <c r="CF11" s="121"/>
      <c r="CG11" s="121"/>
      <c r="CI11" s="121"/>
      <c r="CJ11" s="121"/>
      <c r="CL11" s="121"/>
      <c r="CM11" s="121"/>
      <c r="CO11" s="121"/>
      <c r="CP11" s="121"/>
      <c r="CR11" s="121"/>
      <c r="CS11" s="121"/>
      <c r="CU11" s="121"/>
      <c r="CV11" s="121"/>
      <c r="CX11" s="121"/>
      <c r="CY11" s="121"/>
      <c r="DA11" s="121"/>
      <c r="DC11" s="121"/>
      <c r="DE11" s="121"/>
      <c r="DF11" s="121"/>
      <c r="DH11" s="121"/>
      <c r="DI11" s="121"/>
      <c r="DK11" s="121"/>
      <c r="DL11" s="121"/>
      <c r="DN11" s="227">
        <v>2510</v>
      </c>
      <c r="DO11" s="15">
        <f t="shared" ref="DO11:DO12" si="5">DL11+DN11</f>
        <v>2510</v>
      </c>
      <c r="DQ11" s="15"/>
      <c r="DR11" s="15">
        <f t="shared" ref="DR11:DR12" si="6">DO11+DQ11</f>
        <v>2510</v>
      </c>
      <c r="DT11" s="15"/>
      <c r="DU11" s="15">
        <f t="shared" ref="DU11:DU12" si="7">DR11+DT11</f>
        <v>2510</v>
      </c>
      <c r="DW11" s="15"/>
      <c r="DX11" s="15">
        <f t="shared" ref="DX11:DX12" si="8">DU11+DW11</f>
        <v>2510</v>
      </c>
      <c r="DZ11" s="15"/>
      <c r="EA11" s="15">
        <f t="shared" ref="EA11:EA12" si="9">DX11+DZ11</f>
        <v>2510</v>
      </c>
      <c r="EC11" s="227">
        <v>2490</v>
      </c>
      <c r="ED11" s="15">
        <f t="shared" ref="ED11:ED12" si="10">EA11+EC11</f>
        <v>5000</v>
      </c>
      <c r="EF11" s="227">
        <v>-2000</v>
      </c>
      <c r="EG11" s="15">
        <f t="shared" ref="EG11:EG12" si="11">ED11+EF11</f>
        <v>3000</v>
      </c>
      <c r="EI11" s="15">
        <v>2502.2800000000002</v>
      </c>
      <c r="EK11" s="15"/>
      <c r="EM11" s="15"/>
      <c r="EN11" s="15">
        <f t="shared" ref="EN11:EN12" si="12">EK11+EM11</f>
        <v>0</v>
      </c>
      <c r="EP11" s="15"/>
      <c r="EQ11" s="15">
        <f t="shared" ref="EQ11:EQ12" si="13">EN11+EP11</f>
        <v>0</v>
      </c>
      <c r="ES11" s="15"/>
      <c r="ET11" s="15">
        <f t="shared" ref="ET11:ET12" si="14">EQ11+ES11</f>
        <v>0</v>
      </c>
      <c r="EW11" s="15">
        <f t="shared" ref="EW11:EW12" si="15">ET11+EV11</f>
        <v>0</v>
      </c>
      <c r="EZ11" s="15">
        <f t="shared" ref="EZ11:EZ12" si="16">EW11+EY11</f>
        <v>0</v>
      </c>
      <c r="FC11" s="15">
        <f t="shared" ref="FC11:FC12" si="17">EZ11+FB11</f>
        <v>0</v>
      </c>
      <c r="FF11" s="15">
        <f t="shared" ref="FF11:FF12" si="18">FC11+FE11</f>
        <v>0</v>
      </c>
      <c r="FI11" s="15">
        <f t="shared" ref="FI11:FI12" si="19">FF11+FH11</f>
        <v>0</v>
      </c>
      <c r="FL11" s="15">
        <f t="shared" ref="FL11:FL12" si="20">FI11+FK11</f>
        <v>0</v>
      </c>
      <c r="FO11" s="15">
        <f t="shared" ref="FO11:FO12" si="21">FL11+FN11</f>
        <v>0</v>
      </c>
      <c r="FR11" s="15">
        <v>0</v>
      </c>
    </row>
    <row r="12" spans="1:181" outlineLevel="1">
      <c r="A12" s="1" t="s">
        <v>297</v>
      </c>
      <c r="B12" s="1" t="s">
        <v>115</v>
      </c>
      <c r="C12" s="4" t="s">
        <v>116</v>
      </c>
      <c r="D12" s="43">
        <v>0</v>
      </c>
      <c r="E12" s="34">
        <v>0</v>
      </c>
      <c r="F12" s="43">
        <v>0</v>
      </c>
      <c r="G12" s="34">
        <v>0</v>
      </c>
      <c r="H12" s="46">
        <v>16335</v>
      </c>
      <c r="I12" s="36">
        <v>16335</v>
      </c>
      <c r="J12" s="14"/>
      <c r="M12" s="17" t="e">
        <f>L12/F12-1</f>
        <v>#DIV/0!</v>
      </c>
      <c r="N12" s="17">
        <f>L12/I12-1</f>
        <v>-1</v>
      </c>
      <c r="AF12" s="182"/>
      <c r="AH12" s="15"/>
      <c r="AK12" s="118">
        <v>25000</v>
      </c>
      <c r="AS12" s="15">
        <f t="shared" ref="AS12:AS20" si="22">AR12+AK12</f>
        <v>25000</v>
      </c>
      <c r="AU12" s="15">
        <v>14000</v>
      </c>
      <c r="AV12" s="15">
        <f t="shared" ref="AV12:AV14" si="23">AS12+AU12</f>
        <v>39000</v>
      </c>
      <c r="AX12" s="15"/>
      <c r="AY12" s="15">
        <f t="shared" ref="AY12:AY14" si="24">AV12+AX12</f>
        <v>39000</v>
      </c>
      <c r="BB12" s="15">
        <f t="shared" ref="BB12:BB14" si="25">AY12+BA12</f>
        <v>39000</v>
      </c>
      <c r="BD12" s="15">
        <v>21000</v>
      </c>
      <c r="BE12" s="15">
        <f t="shared" ref="BE12:BE14" si="26">BB12+BD12</f>
        <v>60000</v>
      </c>
      <c r="BG12" s="15"/>
      <c r="BH12" s="15">
        <f t="shared" ref="BH12:BH14" si="27">BE12+BG12</f>
        <v>60000</v>
      </c>
      <c r="BJ12" s="15">
        <v>47574.78</v>
      </c>
      <c r="BK12" s="235">
        <f t="shared" ref="BK12:BK13" si="28">BJ12/BH12</f>
        <v>0.79291299999999998</v>
      </c>
      <c r="BM12" s="15">
        <v>5000</v>
      </c>
      <c r="BN12" s="235">
        <f t="shared" ref="BN12:BN13" si="29">BM12/BJ12</f>
        <v>0.10509770092473365</v>
      </c>
      <c r="BO12" s="235">
        <f t="shared" ref="BO12:BO13" si="30">BM12/BH12</f>
        <v>8.3333333333333329E-2</v>
      </c>
      <c r="BQ12" s="15"/>
      <c r="BR12" s="15">
        <f>BM12+BQ12</f>
        <v>5000</v>
      </c>
      <c r="BT12" s="15"/>
      <c r="BU12" s="15">
        <f>BR12+BT12</f>
        <v>5000</v>
      </c>
      <c r="BW12" s="15"/>
      <c r="BX12" s="15">
        <f>BU12+BW12</f>
        <v>5000</v>
      </c>
      <c r="BZ12" s="15"/>
      <c r="CA12" s="15">
        <f>BX12+BZ12</f>
        <v>5000</v>
      </c>
      <c r="CC12" s="15"/>
      <c r="CD12" s="15">
        <f>CA12+CC12</f>
        <v>5000</v>
      </c>
      <c r="CF12" s="15"/>
      <c r="CG12" s="15">
        <f>CD12+CF12</f>
        <v>5000</v>
      </c>
      <c r="CI12" s="15"/>
      <c r="CJ12" s="15">
        <f>CG12+CI12</f>
        <v>5000</v>
      </c>
      <c r="CM12" s="15">
        <f>CJ12+CL12</f>
        <v>5000</v>
      </c>
      <c r="CP12" s="15">
        <f>CM12+CO12</f>
        <v>5000</v>
      </c>
      <c r="CS12" s="15">
        <f>CP12+CR12</f>
        <v>5000</v>
      </c>
      <c r="CU12" s="227">
        <v>-500</v>
      </c>
      <c r="CV12" s="15">
        <f>CS12+CU12</f>
        <v>4500</v>
      </c>
      <c r="CX12" s="227"/>
      <c r="CY12" s="15">
        <f>CV12+CX12</f>
        <v>4500</v>
      </c>
      <c r="DA12" s="15">
        <v>4235</v>
      </c>
      <c r="DC12" s="15">
        <v>20000</v>
      </c>
      <c r="DE12" s="15"/>
      <c r="DF12" s="15">
        <f t="shared" ref="DF12:DF14" si="31">DC12+DE12</f>
        <v>20000</v>
      </c>
      <c r="DH12" s="15"/>
      <c r="DI12" s="15">
        <f t="shared" ref="DI12" si="32">DF12+DH12</f>
        <v>20000</v>
      </c>
      <c r="DK12" s="15"/>
      <c r="DL12" s="15">
        <f t="shared" ref="DL12" si="33">DI12+DK12</f>
        <v>20000</v>
      </c>
      <c r="DN12" s="227">
        <v>-2510</v>
      </c>
      <c r="DO12" s="15">
        <f t="shared" si="5"/>
        <v>17490</v>
      </c>
      <c r="DQ12" s="15"/>
      <c r="DR12" s="15">
        <f t="shared" si="6"/>
        <v>17490</v>
      </c>
      <c r="DT12" s="15"/>
      <c r="DU12" s="15">
        <f t="shared" si="7"/>
        <v>17490</v>
      </c>
      <c r="DW12" s="15"/>
      <c r="DX12" s="15">
        <f t="shared" si="8"/>
        <v>17490</v>
      </c>
      <c r="DZ12" s="15"/>
      <c r="EA12" s="15">
        <f t="shared" si="9"/>
        <v>17490</v>
      </c>
      <c r="EC12" s="227">
        <v>-17490</v>
      </c>
      <c r="ED12" s="15">
        <f t="shared" si="10"/>
        <v>0</v>
      </c>
      <c r="EF12" s="15"/>
      <c r="EG12" s="15">
        <f t="shared" si="11"/>
        <v>0</v>
      </c>
      <c r="EI12" s="15">
        <v>0</v>
      </c>
      <c r="EK12" s="15"/>
      <c r="EM12" s="15"/>
      <c r="EN12" s="15">
        <f t="shared" si="12"/>
        <v>0</v>
      </c>
      <c r="EP12" s="15"/>
      <c r="EQ12" s="15">
        <f t="shared" si="13"/>
        <v>0</v>
      </c>
      <c r="ES12" s="15"/>
      <c r="ET12" s="15">
        <f t="shared" si="14"/>
        <v>0</v>
      </c>
      <c r="EW12" s="15">
        <f t="shared" si="15"/>
        <v>0</v>
      </c>
      <c r="EZ12" s="15">
        <f t="shared" si="16"/>
        <v>0</v>
      </c>
      <c r="FC12" s="15">
        <f t="shared" si="17"/>
        <v>0</v>
      </c>
      <c r="FF12" s="15">
        <f t="shared" si="18"/>
        <v>0</v>
      </c>
      <c r="FI12" s="15">
        <f t="shared" si="19"/>
        <v>0</v>
      </c>
      <c r="FL12" s="15">
        <f t="shared" si="20"/>
        <v>0</v>
      </c>
      <c r="FO12" s="15">
        <f t="shared" si="21"/>
        <v>0</v>
      </c>
      <c r="FR12" s="15">
        <v>0</v>
      </c>
    </row>
    <row r="13" spans="1:181" outlineLevel="1">
      <c r="A13" s="1" t="s">
        <v>297</v>
      </c>
      <c r="B13" s="1" t="s">
        <v>117</v>
      </c>
      <c r="C13" s="4" t="s">
        <v>118</v>
      </c>
      <c r="D13" s="43"/>
      <c r="E13" s="34"/>
      <c r="F13" s="43"/>
      <c r="G13" s="34"/>
      <c r="H13" s="46"/>
      <c r="I13" s="36"/>
      <c r="J13" s="14"/>
      <c r="M13" s="17"/>
      <c r="N13" s="17"/>
      <c r="AA13" s="118">
        <v>7350</v>
      </c>
      <c r="AB13" s="185">
        <f>AA13-Y13</f>
        <v>7350</v>
      </c>
      <c r="AC13" s="187">
        <f t="shared" ref="AC13:AC14" si="34">AA13-Y13</f>
        <v>7350</v>
      </c>
      <c r="AD13" s="187"/>
      <c r="AE13" s="118">
        <v>7350</v>
      </c>
      <c r="AF13" s="182"/>
      <c r="AH13" s="15">
        <v>7344</v>
      </c>
      <c r="AI13" s="17">
        <f t="shared" ref="AI13:AI14" si="35">AH13/AE13</f>
        <v>0.99918367346938775</v>
      </c>
      <c r="AK13" s="118">
        <f>25000*1.21+8*5500+250</f>
        <v>74500</v>
      </c>
      <c r="AS13" s="15">
        <f t="shared" si="22"/>
        <v>74500</v>
      </c>
      <c r="AV13" s="15">
        <f t="shared" si="23"/>
        <v>74500</v>
      </c>
      <c r="AX13" s="15"/>
      <c r="AY13" s="15">
        <f t="shared" si="24"/>
        <v>74500</v>
      </c>
      <c r="BB13" s="15">
        <f t="shared" si="25"/>
        <v>74500</v>
      </c>
      <c r="BD13" s="15">
        <v>525500</v>
      </c>
      <c r="BE13" s="15">
        <f t="shared" si="26"/>
        <v>600000</v>
      </c>
      <c r="BG13" s="15">
        <v>3200</v>
      </c>
      <c r="BH13" s="15">
        <f t="shared" si="27"/>
        <v>603200</v>
      </c>
      <c r="BJ13" s="15">
        <v>603114.38</v>
      </c>
      <c r="BK13" s="235">
        <f t="shared" si="28"/>
        <v>0.99985805702917774</v>
      </c>
      <c r="BM13" s="15">
        <v>130000</v>
      </c>
      <c r="BN13" s="235">
        <f t="shared" si="29"/>
        <v>0.21554783687963136</v>
      </c>
      <c r="BO13" s="235">
        <f t="shared" si="30"/>
        <v>0.21551724137931033</v>
      </c>
      <c r="BP13" t="s">
        <v>516</v>
      </c>
      <c r="BQ13" s="15"/>
      <c r="BR13" s="15">
        <f>BM13+BQ13</f>
        <v>130000</v>
      </c>
      <c r="BT13" s="15"/>
      <c r="BU13" s="15">
        <f>BR13+BT13</f>
        <v>130000</v>
      </c>
      <c r="BW13" s="15"/>
      <c r="BX13" s="15">
        <f>BU13+BW13</f>
        <v>130000</v>
      </c>
      <c r="BZ13" s="15"/>
      <c r="CA13" s="15">
        <f>BX13+BZ13</f>
        <v>130000</v>
      </c>
      <c r="CC13" s="15"/>
      <c r="CD13" s="15">
        <f>CA13+CC13</f>
        <v>130000</v>
      </c>
      <c r="CF13" s="15"/>
      <c r="CG13" s="15">
        <f>CD13+CF13</f>
        <v>130000</v>
      </c>
      <c r="CI13" s="15"/>
      <c r="CJ13" s="15">
        <f>CG13+CI13</f>
        <v>130000</v>
      </c>
      <c r="CL13" s="15">
        <v>0</v>
      </c>
      <c r="CM13" s="15">
        <f>CJ13+CL13</f>
        <v>130000</v>
      </c>
      <c r="CP13" s="15">
        <f>CM13+CO13</f>
        <v>130000</v>
      </c>
      <c r="CQ13" s="228"/>
      <c r="CS13" s="15">
        <f>CP13+CR13</f>
        <v>130000</v>
      </c>
      <c r="CU13" s="227">
        <v>-130000</v>
      </c>
      <c r="CV13" s="15">
        <f>CS13+CU13</f>
        <v>0</v>
      </c>
      <c r="CX13" s="227"/>
      <c r="CY13" s="15">
        <f>CV13+CX13</f>
        <v>0</v>
      </c>
      <c r="DE13" s="15"/>
      <c r="DF13" s="15">
        <f>DC13+DE13</f>
        <v>0</v>
      </c>
      <c r="DH13" s="15"/>
      <c r="DI13" s="15">
        <f>DF13+DH13</f>
        <v>0</v>
      </c>
      <c r="DK13" s="15"/>
      <c r="DL13" s="15">
        <f>DI13+DK13</f>
        <v>0</v>
      </c>
      <c r="DN13" s="15"/>
      <c r="DO13" s="15">
        <f>DL13+DN13</f>
        <v>0</v>
      </c>
      <c r="DQ13" s="15"/>
      <c r="DR13" s="15">
        <f>DO13+DQ13</f>
        <v>0</v>
      </c>
      <c r="DT13" s="15"/>
      <c r="DU13" s="15">
        <f>DR13+DT13</f>
        <v>0</v>
      </c>
      <c r="DW13" s="15"/>
      <c r="DX13" s="15">
        <f>DU13+DW13</f>
        <v>0</v>
      </c>
      <c r="DZ13" s="15"/>
      <c r="EA13" s="15">
        <f>DX13+DZ13</f>
        <v>0</v>
      </c>
      <c r="EC13" s="227">
        <v>2500</v>
      </c>
      <c r="ED13" s="15">
        <f>EA13+EC13</f>
        <v>2500</v>
      </c>
      <c r="EF13" s="15"/>
      <c r="EG13" s="15">
        <f>ED13+EF13</f>
        <v>2500</v>
      </c>
      <c r="EI13" s="15">
        <v>2481.23</v>
      </c>
      <c r="EK13" s="15">
        <v>100000</v>
      </c>
      <c r="EM13" s="15"/>
      <c r="EN13" s="15">
        <f>EK13+EM13</f>
        <v>100000</v>
      </c>
      <c r="EP13" s="15"/>
      <c r="EQ13" s="15">
        <f>EN13+EP13</f>
        <v>100000</v>
      </c>
      <c r="ES13" s="15"/>
      <c r="ET13" s="15">
        <f>EQ13+ES13</f>
        <v>100000</v>
      </c>
      <c r="EV13" s="227">
        <v>-30000</v>
      </c>
      <c r="EW13" s="15">
        <f>ET13+EV13</f>
        <v>70000</v>
      </c>
      <c r="EZ13" s="15">
        <f>EW13+EY13</f>
        <v>70000</v>
      </c>
      <c r="FB13" s="227">
        <v>-40000</v>
      </c>
      <c r="FC13" s="15">
        <f>EZ13+FB13</f>
        <v>30000</v>
      </c>
      <c r="FF13" s="15">
        <f>FC13+FE13</f>
        <v>30000</v>
      </c>
      <c r="FI13" s="15">
        <f>FF13+FH13</f>
        <v>30000</v>
      </c>
      <c r="FK13" s="227">
        <v>-10000</v>
      </c>
      <c r="FL13" s="15">
        <f>FI13+FK13</f>
        <v>20000</v>
      </c>
      <c r="FO13" s="15">
        <f>FL13+FN13</f>
        <v>20000</v>
      </c>
      <c r="FQ13" s="227">
        <v>-12400</v>
      </c>
      <c r="FR13" s="15">
        <v>7600</v>
      </c>
      <c r="FT13" s="15">
        <v>7564.32</v>
      </c>
      <c r="FV13" s="15">
        <v>500000</v>
      </c>
      <c r="FW13" s="235">
        <f t="shared" ref="FW13" si="36">FV13/FT13</f>
        <v>66.09979482623686</v>
      </c>
      <c r="FY13" s="15">
        <v>200000</v>
      </c>
    </row>
    <row r="14" spans="1:181" outlineLevel="1">
      <c r="A14" s="1" t="s">
        <v>297</v>
      </c>
      <c r="B14" s="1" t="s">
        <v>208</v>
      </c>
      <c r="C14" s="4" t="s">
        <v>327</v>
      </c>
      <c r="D14" s="43"/>
      <c r="E14" s="34"/>
      <c r="F14" s="43"/>
      <c r="G14" s="34"/>
      <c r="H14" s="46"/>
      <c r="I14" s="36"/>
      <c r="J14" s="14"/>
      <c r="L14" s="118">
        <f>'[1]2020'!$Q$51</f>
        <v>100000</v>
      </c>
      <c r="M14" s="17" t="e">
        <f>L14/F14-1</f>
        <v>#DIV/0!</v>
      </c>
      <c r="N14" s="17" t="e">
        <f>L14/I14-1</f>
        <v>#DIV/0!</v>
      </c>
      <c r="Q14" s="118">
        <v>100000</v>
      </c>
      <c r="R14" s="15">
        <v>14800</v>
      </c>
      <c r="S14" s="118">
        <v>59000</v>
      </c>
      <c r="T14" s="157">
        <f>S14-Q14</f>
        <v>-41000</v>
      </c>
      <c r="U14" s="16">
        <f>S14/Q14-1</f>
        <v>-0.41000000000000003</v>
      </c>
      <c r="Y14" s="118">
        <v>59000</v>
      </c>
      <c r="AA14" s="118">
        <v>71200</v>
      </c>
      <c r="AB14" s="185">
        <f>AA14-Y14</f>
        <v>12200</v>
      </c>
      <c r="AC14" s="187">
        <f t="shared" si="34"/>
        <v>12200</v>
      </c>
      <c r="AD14" s="187"/>
      <c r="AE14" s="118">
        <v>71200</v>
      </c>
      <c r="AF14" s="182"/>
      <c r="AH14" s="15">
        <v>71065</v>
      </c>
      <c r="AI14" s="17">
        <f t="shared" si="35"/>
        <v>0.99810393258426966</v>
      </c>
      <c r="AK14" s="118">
        <v>456300</v>
      </c>
      <c r="AS14" s="15">
        <f t="shared" si="22"/>
        <v>456300</v>
      </c>
      <c r="AV14" s="15">
        <f t="shared" si="23"/>
        <v>456300</v>
      </c>
      <c r="AX14" s="15"/>
      <c r="AY14" s="15">
        <f t="shared" si="24"/>
        <v>456300</v>
      </c>
      <c r="BA14" s="227">
        <v>-33000</v>
      </c>
      <c r="BB14" s="15">
        <f t="shared" si="25"/>
        <v>423300</v>
      </c>
      <c r="BD14" s="15">
        <v>-423300</v>
      </c>
      <c r="BE14" s="15">
        <f t="shared" si="26"/>
        <v>0</v>
      </c>
      <c r="BG14" s="15"/>
      <c r="BH14" s="15">
        <f t="shared" si="27"/>
        <v>0</v>
      </c>
      <c r="BM14" s="290">
        <v>115000</v>
      </c>
      <c r="BN14" s="235"/>
      <c r="BO14" s="235"/>
      <c r="BQ14" s="15"/>
      <c r="BR14" s="15">
        <f>BM14+BQ14</f>
        <v>115000</v>
      </c>
      <c r="BT14" s="15"/>
      <c r="BU14" s="15">
        <f>BR14+BT14</f>
        <v>115000</v>
      </c>
      <c r="BW14" s="15"/>
      <c r="BX14" s="15">
        <f>BU14+BW14</f>
        <v>115000</v>
      </c>
      <c r="BZ14" s="15"/>
      <c r="CA14" s="15">
        <f>BX14+BZ14</f>
        <v>115000</v>
      </c>
      <c r="CC14" s="15"/>
      <c r="CD14" s="15">
        <f>CA14+CC14</f>
        <v>115000</v>
      </c>
      <c r="CF14" s="15"/>
      <c r="CG14" s="15">
        <f>CD14+CF14</f>
        <v>115000</v>
      </c>
      <c r="CI14" s="15"/>
      <c r="CJ14" s="15">
        <f>CG14+CI14</f>
        <v>115000</v>
      </c>
      <c r="CL14" s="15">
        <v>-49300</v>
      </c>
      <c r="CM14" s="15">
        <f>CJ14+CL14</f>
        <v>65700</v>
      </c>
      <c r="CO14" s="15">
        <v>-50300</v>
      </c>
      <c r="CP14" s="15">
        <f>CM14+CO14</f>
        <v>15400</v>
      </c>
      <c r="CS14" s="15">
        <f>CP14+CR14</f>
        <v>15400</v>
      </c>
      <c r="CU14" s="227">
        <v>-15400</v>
      </c>
      <c r="CV14" s="15">
        <f>CS14+CU14</f>
        <v>0</v>
      </c>
      <c r="CX14" s="227"/>
      <c r="CY14" s="15">
        <f>CV14+CX14</f>
        <v>0</v>
      </c>
      <c r="DE14" s="15"/>
      <c r="DF14" s="15">
        <f t="shared" si="31"/>
        <v>0</v>
      </c>
      <c r="DH14" s="15"/>
      <c r="DI14" s="15">
        <f t="shared" ref="DI14" si="37">DF14+DH14</f>
        <v>0</v>
      </c>
      <c r="DK14" s="15"/>
      <c r="DL14" s="15">
        <f t="shared" ref="DL14" si="38">DI14+DK14</f>
        <v>0</v>
      </c>
      <c r="DN14" s="15"/>
      <c r="DO14" s="15">
        <f t="shared" ref="DO14" si="39">DL14+DN14</f>
        <v>0</v>
      </c>
      <c r="DQ14" s="15"/>
      <c r="DR14" s="15">
        <f t="shared" ref="DR14" si="40">DO14+DQ14</f>
        <v>0</v>
      </c>
      <c r="DT14" s="15"/>
      <c r="DU14" s="15">
        <f t="shared" ref="DU14" si="41">DR14+DT14</f>
        <v>0</v>
      </c>
      <c r="DW14" s="15"/>
      <c r="DX14" s="15">
        <f t="shared" ref="DX14" si="42">DU14+DW14</f>
        <v>0</v>
      </c>
      <c r="DZ14" s="15"/>
      <c r="EA14" s="15">
        <f t="shared" ref="EA14" si="43">DX14+DZ14</f>
        <v>0</v>
      </c>
      <c r="EC14" s="15"/>
      <c r="ED14" s="15">
        <f t="shared" ref="ED14" si="44">EA14+EC14</f>
        <v>0</v>
      </c>
      <c r="EF14" s="15"/>
      <c r="EG14" s="15">
        <f t="shared" ref="EG14" si="45">ED14+EF14</f>
        <v>0</v>
      </c>
      <c r="EK14" s="15"/>
      <c r="EM14" s="15"/>
      <c r="EN14" s="15">
        <f t="shared" ref="EN14" si="46">EK14+EM14</f>
        <v>0</v>
      </c>
      <c r="EP14" s="15"/>
      <c r="EQ14" s="15">
        <f t="shared" ref="EQ14" si="47">EN14+EP14</f>
        <v>0</v>
      </c>
      <c r="ES14" s="15"/>
      <c r="ET14" s="15">
        <f t="shared" ref="ET14" si="48">EQ14+ES14</f>
        <v>0</v>
      </c>
      <c r="EW14" s="15">
        <f t="shared" ref="EW14" si="49">ET14+EV14</f>
        <v>0</v>
      </c>
      <c r="EZ14" s="15">
        <f t="shared" ref="EZ14" si="50">EW14+EY14</f>
        <v>0</v>
      </c>
      <c r="FC14" s="15">
        <f t="shared" ref="FC14" si="51">EZ14+FB14</f>
        <v>0</v>
      </c>
      <c r="FF14" s="15">
        <f t="shared" ref="FF14" si="52">FC14+FE14</f>
        <v>0</v>
      </c>
      <c r="FI14" s="15">
        <f t="shared" ref="FI14" si="53">FF14+FH14</f>
        <v>0</v>
      </c>
      <c r="FL14" s="15">
        <f t="shared" ref="FL14" si="54">FI14+FK14</f>
        <v>0</v>
      </c>
      <c r="FO14" s="15">
        <f t="shared" ref="FO14" si="55">FL14+FN14</f>
        <v>0</v>
      </c>
      <c r="FR14" s="15">
        <v>0</v>
      </c>
    </row>
    <row r="15" spans="1:181" outlineLevel="1">
      <c r="A15" s="1" t="s">
        <v>297</v>
      </c>
      <c r="B15" s="4" t="s">
        <v>46</v>
      </c>
      <c r="C15" s="4" t="s">
        <v>298</v>
      </c>
      <c r="D15" s="43">
        <v>0</v>
      </c>
      <c r="E15" s="34">
        <v>0</v>
      </c>
      <c r="F15" s="43">
        <v>0</v>
      </c>
      <c r="G15" s="34">
        <v>0</v>
      </c>
      <c r="H15" s="46">
        <v>16335</v>
      </c>
      <c r="I15" s="36"/>
      <c r="J15" s="14"/>
      <c r="Y15" s="118"/>
      <c r="AF15" s="182"/>
      <c r="AH15" s="15"/>
      <c r="AS15" s="15"/>
      <c r="AX15" s="15"/>
      <c r="BD15" s="15"/>
      <c r="BG15" s="15"/>
      <c r="DE15" s="15"/>
      <c r="DH15" s="15"/>
      <c r="DK15" s="15"/>
      <c r="DN15" s="15"/>
      <c r="DQ15" s="15"/>
      <c r="DT15" s="15"/>
      <c r="DW15" s="15"/>
      <c r="DZ15" s="15"/>
      <c r="EC15" s="15"/>
      <c r="EF15" s="15"/>
      <c r="EK15" s="15"/>
      <c r="EM15" s="15"/>
      <c r="EP15" s="15"/>
      <c r="ES15" s="15"/>
    </row>
    <row r="16" spans="1:181" outlineLevel="1">
      <c r="A16" s="1" t="s">
        <v>112</v>
      </c>
      <c r="B16" s="1" t="s">
        <v>113</v>
      </c>
      <c r="C16" s="4" t="s">
        <v>114</v>
      </c>
      <c r="D16" s="43">
        <v>20000</v>
      </c>
      <c r="E16" s="34">
        <v>0</v>
      </c>
      <c r="F16" s="43">
        <v>20000</v>
      </c>
      <c r="G16" s="34">
        <v>0</v>
      </c>
      <c r="H16" s="46">
        <v>0</v>
      </c>
      <c r="I16" s="36"/>
      <c r="J16" s="14"/>
      <c r="L16" s="118">
        <v>0</v>
      </c>
      <c r="M16" s="17">
        <f>L16/F16-1</f>
        <v>-1</v>
      </c>
      <c r="N16" s="17" t="e">
        <f>L16/I16-1</f>
        <v>#DIV/0!</v>
      </c>
      <c r="Y16" s="118"/>
      <c r="AF16" s="182"/>
      <c r="AH16" s="15"/>
      <c r="AS16" s="15"/>
      <c r="AX16" s="15"/>
      <c r="BD16" s="15"/>
      <c r="BG16" s="15"/>
      <c r="DE16" s="15"/>
      <c r="DH16" s="15"/>
      <c r="DK16" s="15"/>
      <c r="DN16" s="15"/>
      <c r="DQ16" s="15"/>
      <c r="DT16" s="15"/>
      <c r="DW16" s="15"/>
      <c r="DZ16" s="15"/>
      <c r="EC16" s="15"/>
      <c r="EF16" s="15"/>
      <c r="EK16" s="15"/>
      <c r="EM16" s="15"/>
      <c r="EP16" s="15"/>
      <c r="ES16" s="15"/>
    </row>
    <row r="17" spans="1:181" outlineLevel="1">
      <c r="A17" s="1" t="s">
        <v>112</v>
      </c>
      <c r="B17" s="1" t="s">
        <v>146</v>
      </c>
      <c r="C17" s="4" t="s">
        <v>147</v>
      </c>
      <c r="D17" s="43">
        <v>0</v>
      </c>
      <c r="E17" s="34">
        <v>0</v>
      </c>
      <c r="F17" s="43">
        <v>0</v>
      </c>
      <c r="G17" s="34">
        <v>0</v>
      </c>
      <c r="H17" s="46">
        <v>1029</v>
      </c>
      <c r="I17" s="36">
        <v>1029</v>
      </c>
      <c r="J17" s="14"/>
      <c r="L17" s="118">
        <v>1000</v>
      </c>
      <c r="M17" s="17" t="e">
        <f>L17/F17-1</f>
        <v>#DIV/0!</v>
      </c>
      <c r="N17" s="17">
        <f>L17/I17-1</f>
        <v>-2.8182701652089359E-2</v>
      </c>
      <c r="Q17" s="118">
        <v>1000</v>
      </c>
      <c r="R17" s="15">
        <v>0</v>
      </c>
      <c r="S17" s="118">
        <v>1000</v>
      </c>
      <c r="T17" s="157">
        <f>S17-Q17</f>
        <v>0</v>
      </c>
      <c r="U17" s="16">
        <f>S17/Q17-1</f>
        <v>0</v>
      </c>
      <c r="Y17" s="118">
        <v>1000</v>
      </c>
      <c r="AA17" s="118">
        <v>0</v>
      </c>
      <c r="AB17" s="185">
        <f>AA17-Y17</f>
        <v>-1000</v>
      </c>
      <c r="AC17" s="187">
        <f t="shared" ref="AC17:AC20" si="56">AA17-Y17</f>
        <v>-1000</v>
      </c>
      <c r="AD17" s="187"/>
      <c r="AE17" s="118">
        <v>0</v>
      </c>
      <c r="AF17" s="182"/>
      <c r="AH17" s="15">
        <v>0</v>
      </c>
      <c r="AI17" s="17"/>
      <c r="AS17" s="15"/>
      <c r="AX17" s="15"/>
      <c r="BD17" s="15"/>
      <c r="BG17" s="15"/>
      <c r="CL17" s="15">
        <v>2500</v>
      </c>
      <c r="CM17" s="15">
        <f>CJ17+CL17</f>
        <v>2500</v>
      </c>
      <c r="CP17" s="15">
        <f>CM17+CO17</f>
        <v>2500</v>
      </c>
      <c r="CS17" s="15">
        <f>CP17+CR17</f>
        <v>2500</v>
      </c>
      <c r="CV17" s="15">
        <f>CS17+CU17</f>
        <v>2500</v>
      </c>
      <c r="CY17" s="15">
        <f>CV17+CX17</f>
        <v>2500</v>
      </c>
      <c r="DA17" s="15">
        <v>2473.2399999999998</v>
      </c>
      <c r="DE17" s="15"/>
      <c r="DH17" s="15"/>
      <c r="DK17" s="15"/>
      <c r="DN17" s="15"/>
      <c r="DQ17" s="15"/>
      <c r="DT17" s="15"/>
      <c r="DW17" s="15"/>
      <c r="DZ17" s="15"/>
      <c r="EC17" s="15"/>
      <c r="EF17" s="15"/>
      <c r="EK17" s="15"/>
      <c r="EM17" s="15"/>
      <c r="EP17" s="15"/>
      <c r="ES17" s="15"/>
    </row>
    <row r="18" spans="1:181" outlineLevel="1">
      <c r="A18" s="1" t="s">
        <v>112</v>
      </c>
      <c r="B18" s="1" t="s">
        <v>115</v>
      </c>
      <c r="C18" s="4" t="s">
        <v>116</v>
      </c>
      <c r="D18" s="43">
        <v>220000</v>
      </c>
      <c r="E18" s="34">
        <v>0</v>
      </c>
      <c r="F18" s="43">
        <v>220000</v>
      </c>
      <c r="G18" s="34">
        <v>0</v>
      </c>
      <c r="H18" s="46">
        <v>0</v>
      </c>
      <c r="I18" s="36"/>
      <c r="J18" s="14"/>
      <c r="L18" s="118">
        <v>5000</v>
      </c>
      <c r="M18" s="17">
        <f>L18/F18-1</f>
        <v>-0.97727272727272729</v>
      </c>
      <c r="N18" s="17" t="e">
        <f>L18/I18-1</f>
        <v>#DIV/0!</v>
      </c>
      <c r="Q18" s="118">
        <v>5000</v>
      </c>
      <c r="R18" s="15">
        <v>0</v>
      </c>
      <c r="S18" s="118">
        <v>1000</v>
      </c>
      <c r="T18" s="157">
        <f>S18-Q18</f>
        <v>-4000</v>
      </c>
      <c r="U18" s="16">
        <f>S18/Q18-1</f>
        <v>-0.8</v>
      </c>
      <c r="Y18" s="118">
        <v>1000</v>
      </c>
      <c r="AA18" s="118">
        <v>0</v>
      </c>
      <c r="AB18" s="185">
        <f>AA18-Y18</f>
        <v>-1000</v>
      </c>
      <c r="AC18" s="187">
        <f t="shared" si="56"/>
        <v>-1000</v>
      </c>
      <c r="AD18" s="187"/>
      <c r="AE18" s="118">
        <v>0</v>
      </c>
      <c r="AF18" s="182"/>
      <c r="AH18" s="15">
        <v>0</v>
      </c>
      <c r="AI18" s="17"/>
      <c r="AS18" s="15"/>
      <c r="AX18" s="15"/>
      <c r="BD18" s="15"/>
      <c r="BG18" s="15"/>
      <c r="DC18" s="15">
        <v>115000</v>
      </c>
      <c r="DE18" s="15"/>
      <c r="DF18" s="15">
        <f t="shared" ref="DF18" si="57">DC18+DE18</f>
        <v>115000</v>
      </c>
      <c r="DH18" s="15"/>
      <c r="DI18" s="15">
        <f t="shared" ref="DI18" si="58">DF18+DH18</f>
        <v>115000</v>
      </c>
      <c r="DK18" s="15"/>
      <c r="DL18" s="15">
        <f t="shared" ref="DL18" si="59">DI18+DK18</f>
        <v>115000</v>
      </c>
      <c r="DN18" s="15"/>
      <c r="DO18" s="15">
        <f t="shared" ref="DO18" si="60">DL18+DN18</f>
        <v>115000</v>
      </c>
      <c r="DQ18" s="15"/>
      <c r="DR18" s="15">
        <f t="shared" ref="DR18" si="61">DO18+DQ18</f>
        <v>115000</v>
      </c>
      <c r="DT18" s="15"/>
      <c r="DU18" s="15">
        <f t="shared" ref="DU18" si="62">DR18+DT18</f>
        <v>115000</v>
      </c>
      <c r="DW18" s="15"/>
      <c r="DX18" s="15">
        <f t="shared" ref="DX18" si="63">DU18+DW18</f>
        <v>115000</v>
      </c>
      <c r="DZ18" s="15"/>
      <c r="EA18" s="15">
        <f t="shared" ref="EA18" si="64">DX18+DZ18</f>
        <v>115000</v>
      </c>
      <c r="EC18" s="227">
        <v>-115000</v>
      </c>
      <c r="ED18" s="15">
        <f t="shared" ref="ED18" si="65">EA18+EC18</f>
        <v>0</v>
      </c>
      <c r="EF18" s="15"/>
      <c r="EG18" s="15">
        <f t="shared" ref="EG18" si="66">ED18+EF18</f>
        <v>0</v>
      </c>
      <c r="EK18" s="15">
        <v>115000</v>
      </c>
      <c r="EM18" s="15"/>
      <c r="EN18" s="15">
        <f t="shared" ref="EN18" si="67">EK18+EM18</f>
        <v>115000</v>
      </c>
      <c r="EP18" s="15"/>
      <c r="EQ18" s="15">
        <f t="shared" ref="EQ18" si="68">EN18+EP18</f>
        <v>115000</v>
      </c>
      <c r="ES18" s="15"/>
      <c r="ET18" s="15">
        <f t="shared" ref="ET18" si="69">EQ18+ES18</f>
        <v>115000</v>
      </c>
      <c r="EW18" s="15">
        <f t="shared" ref="EW18" si="70">ET18+EV18</f>
        <v>115000</v>
      </c>
      <c r="EZ18" s="15">
        <f t="shared" ref="EZ18" si="71">EW18+EY18</f>
        <v>115000</v>
      </c>
      <c r="FC18" s="15">
        <f t="shared" ref="FC18" si="72">EZ18+FB18</f>
        <v>115000</v>
      </c>
      <c r="FE18" s="227">
        <v>-2000</v>
      </c>
      <c r="FF18" s="15">
        <f t="shared" ref="FF18" si="73">FC18+FE18</f>
        <v>113000</v>
      </c>
      <c r="FH18" s="227">
        <v>-14700</v>
      </c>
      <c r="FI18" s="15">
        <f t="shared" ref="FI18" si="74">FF18+FH18</f>
        <v>98300</v>
      </c>
      <c r="FK18" s="227">
        <v>-88300</v>
      </c>
      <c r="FL18" s="15">
        <f t="shared" ref="FL18" si="75">FI18+FK18</f>
        <v>10000</v>
      </c>
      <c r="FN18" s="227">
        <v>-10000</v>
      </c>
      <c r="FO18" s="15">
        <f t="shared" ref="FO18" si="76">FL18+FN18</f>
        <v>0</v>
      </c>
      <c r="FR18" s="15">
        <v>0</v>
      </c>
      <c r="FW18" s="235" t="e">
        <f t="shared" ref="FW18" si="77">FV18/FT18</f>
        <v>#DIV/0!</v>
      </c>
      <c r="FY18" s="15">
        <v>115000</v>
      </c>
    </row>
    <row r="19" spans="1:181" outlineLevel="1">
      <c r="A19" s="1" t="s">
        <v>112</v>
      </c>
      <c r="B19" s="1" t="s">
        <v>117</v>
      </c>
      <c r="C19" s="4" t="s">
        <v>118</v>
      </c>
      <c r="D19" s="43">
        <v>110000</v>
      </c>
      <c r="E19" s="34">
        <v>53.96</v>
      </c>
      <c r="F19" s="43">
        <v>110000</v>
      </c>
      <c r="G19" s="34">
        <v>53.96</v>
      </c>
      <c r="H19" s="46">
        <v>59358</v>
      </c>
      <c r="I19" s="48">
        <v>61000</v>
      </c>
      <c r="L19" s="118">
        <v>30000</v>
      </c>
      <c r="M19" s="17">
        <f>L19/F19-1</f>
        <v>-0.72727272727272729</v>
      </c>
      <c r="N19" s="17">
        <f>L19/I19-1</f>
        <v>-0.50819672131147542</v>
      </c>
      <c r="Q19" s="118">
        <v>30000</v>
      </c>
      <c r="R19" s="15">
        <v>0</v>
      </c>
      <c r="S19" s="118">
        <v>5000</v>
      </c>
      <c r="T19" s="157">
        <f>S19-Q19</f>
        <v>-25000</v>
      </c>
      <c r="U19" s="16">
        <f>S19/Q19-1</f>
        <v>-0.83333333333333337</v>
      </c>
      <c r="Y19" s="118">
        <v>5000</v>
      </c>
      <c r="AA19" s="118">
        <v>1000</v>
      </c>
      <c r="AB19" s="185">
        <f>AA19-Y19</f>
        <v>-4000</v>
      </c>
      <c r="AC19" s="187">
        <f t="shared" si="56"/>
        <v>-4000</v>
      </c>
      <c r="AD19" s="187"/>
      <c r="AE19" s="118">
        <v>1000</v>
      </c>
      <c r="AF19" s="182"/>
      <c r="AH19" s="15">
        <v>0</v>
      </c>
      <c r="AI19" s="17">
        <f t="shared" ref="AI19:AI20" si="78">AH19/AE19</f>
        <v>0</v>
      </c>
      <c r="AS19" s="15"/>
      <c r="AX19" s="15"/>
      <c r="BD19" s="15"/>
      <c r="BG19" s="15"/>
      <c r="DE19" s="15"/>
      <c r="DH19" s="15"/>
      <c r="DK19" s="15"/>
      <c r="DN19" s="15"/>
      <c r="DQ19" s="15"/>
      <c r="DT19" s="15"/>
      <c r="DW19" s="15"/>
      <c r="DZ19" s="15"/>
      <c r="EC19" s="15"/>
      <c r="EF19" s="15"/>
      <c r="EK19" s="15"/>
      <c r="EM19" s="15"/>
      <c r="EP19" s="15"/>
      <c r="ES19" s="15"/>
    </row>
    <row r="20" spans="1:181" outlineLevel="1">
      <c r="A20" s="1" t="s">
        <v>112</v>
      </c>
      <c r="B20" s="1" t="s">
        <v>208</v>
      </c>
      <c r="C20" s="4" t="s">
        <v>327</v>
      </c>
      <c r="D20" s="43"/>
      <c r="E20" s="34"/>
      <c r="F20" s="43"/>
      <c r="G20" s="34"/>
      <c r="H20" s="46"/>
      <c r="I20" s="50"/>
      <c r="L20" s="118">
        <v>100000</v>
      </c>
      <c r="M20" s="17" t="e">
        <f>L20/F20-1</f>
        <v>#DIV/0!</v>
      </c>
      <c r="N20" s="17" t="e">
        <f>L20/I20-1</f>
        <v>#DIV/0!</v>
      </c>
      <c r="Q20" s="118">
        <v>100000</v>
      </c>
      <c r="R20" s="15">
        <v>0</v>
      </c>
      <c r="S20" s="118">
        <v>108000</v>
      </c>
      <c r="T20" s="157">
        <f>S20-Q20</f>
        <v>8000</v>
      </c>
      <c r="U20" s="16">
        <f>S20/Q20-1</f>
        <v>8.0000000000000071E-2</v>
      </c>
      <c r="Y20" s="118">
        <v>108000</v>
      </c>
      <c r="AA20" s="118">
        <v>97000</v>
      </c>
      <c r="AB20" s="185">
        <f>AA20-Y20</f>
        <v>-11000</v>
      </c>
      <c r="AC20" s="187">
        <f t="shared" si="56"/>
        <v>-11000</v>
      </c>
      <c r="AD20" s="187"/>
      <c r="AE20" s="118">
        <v>97000</v>
      </c>
      <c r="AF20" s="182"/>
      <c r="AH20" s="15">
        <v>96800</v>
      </c>
      <c r="AI20" s="17">
        <f t="shared" si="78"/>
        <v>0.99793814432989691</v>
      </c>
      <c r="AK20" s="118">
        <f>10900+100</f>
        <v>11000</v>
      </c>
      <c r="AS20" s="15">
        <f t="shared" si="22"/>
        <v>11000</v>
      </c>
      <c r="AV20" s="15">
        <f>AS20+AU20</f>
        <v>11000</v>
      </c>
      <c r="AX20" s="15"/>
      <c r="AY20" s="15">
        <f>AV20+AX20</f>
        <v>11000</v>
      </c>
      <c r="BB20" s="15">
        <f>AY20+BA20</f>
        <v>11000</v>
      </c>
      <c r="BD20" s="15">
        <v>-11000</v>
      </c>
      <c r="BE20" s="15">
        <f>BB20+BD20</f>
        <v>0</v>
      </c>
      <c r="BG20" s="15"/>
      <c r="BH20" s="15">
        <f>BE20+BG20</f>
        <v>0</v>
      </c>
      <c r="BJ20" s="15">
        <v>0</v>
      </c>
      <c r="BM20" s="15"/>
      <c r="BN20" s="235" t="e">
        <f t="shared" ref="BN20" si="79">BM20/BJ20</f>
        <v>#DIV/0!</v>
      </c>
      <c r="BO20" s="235" t="e">
        <f t="shared" ref="BO20" si="80">BM20/BH20</f>
        <v>#DIV/0!</v>
      </c>
      <c r="BQ20" s="15"/>
      <c r="BR20" s="15"/>
      <c r="BT20" s="15"/>
      <c r="BU20" s="15"/>
      <c r="BW20" s="15"/>
      <c r="BX20" s="15"/>
      <c r="BZ20" s="15"/>
      <c r="CA20" s="15"/>
      <c r="CC20" s="15"/>
      <c r="CD20" s="15"/>
      <c r="CF20" s="15"/>
      <c r="CG20" s="15"/>
      <c r="CI20" s="15"/>
      <c r="CJ20" s="15"/>
      <c r="CM20" s="15"/>
      <c r="CP20" s="15"/>
      <c r="CS20" s="15"/>
      <c r="CV20" s="15"/>
      <c r="CY20" s="15"/>
      <c r="DE20" s="15"/>
      <c r="DF20" s="15">
        <f>DC20+DE20</f>
        <v>0</v>
      </c>
      <c r="DH20" s="15"/>
      <c r="DI20" s="15">
        <f>DF20+DH20</f>
        <v>0</v>
      </c>
      <c r="DK20" s="15"/>
      <c r="DL20" s="15">
        <f>DI20+DK20</f>
        <v>0</v>
      </c>
      <c r="DN20" s="15"/>
      <c r="DO20" s="15">
        <f>DL20+DN20</f>
        <v>0</v>
      </c>
      <c r="DQ20" s="15"/>
      <c r="DR20" s="15">
        <f>DO20+DQ20</f>
        <v>0</v>
      </c>
      <c r="DT20" s="15"/>
      <c r="DU20" s="15">
        <f>DR20+DT20</f>
        <v>0</v>
      </c>
      <c r="DW20" s="15"/>
      <c r="DX20" s="15">
        <f>DU20+DW20</f>
        <v>0</v>
      </c>
      <c r="DZ20" s="15"/>
      <c r="EA20" s="15">
        <f>DX20+DZ20</f>
        <v>0</v>
      </c>
      <c r="EC20" s="15"/>
      <c r="ED20" s="15">
        <f>EA20+EC20</f>
        <v>0</v>
      </c>
      <c r="EF20" s="15"/>
      <c r="EG20" s="15">
        <f>ED20+EF20</f>
        <v>0</v>
      </c>
      <c r="EK20" s="15"/>
      <c r="EM20" s="15"/>
      <c r="EN20" s="15">
        <f>EK20+EM20</f>
        <v>0</v>
      </c>
      <c r="EP20" s="15"/>
      <c r="EQ20" s="15">
        <f>EN20+EP20</f>
        <v>0</v>
      </c>
      <c r="ES20" s="15"/>
      <c r="ET20" s="15">
        <f>EQ20+ES20</f>
        <v>0</v>
      </c>
      <c r="EW20" s="15">
        <f>ET20+EV20</f>
        <v>0</v>
      </c>
      <c r="EZ20" s="15">
        <f>EW20+EY20</f>
        <v>0</v>
      </c>
      <c r="FC20" s="15">
        <f>EZ20+FB20</f>
        <v>0</v>
      </c>
      <c r="FF20" s="15">
        <f>FC20+FE20</f>
        <v>0</v>
      </c>
      <c r="FI20" s="15">
        <f>FF20+FH20</f>
        <v>0</v>
      </c>
      <c r="FL20" s="15">
        <f>FI20+FK20</f>
        <v>0</v>
      </c>
      <c r="FO20" s="15">
        <f>FL20+FN20</f>
        <v>0</v>
      </c>
      <c r="FR20" s="15">
        <v>0</v>
      </c>
    </row>
    <row r="21" spans="1:181" outlineLevel="1">
      <c r="A21" s="1" t="s">
        <v>112</v>
      </c>
      <c r="B21" s="4" t="s">
        <v>46</v>
      </c>
      <c r="C21" s="4" t="s">
        <v>119</v>
      </c>
      <c r="D21" s="43">
        <v>350000</v>
      </c>
      <c r="E21" s="34">
        <v>17.25</v>
      </c>
      <c r="F21" s="43">
        <v>350000</v>
      </c>
      <c r="G21" s="34">
        <v>17.25</v>
      </c>
      <c r="H21" s="46">
        <v>60387</v>
      </c>
      <c r="I21" s="36"/>
      <c r="J21" s="14"/>
      <c r="Y21" s="118"/>
      <c r="AF21" s="182"/>
      <c r="AH21" s="15"/>
      <c r="AS21" s="15"/>
      <c r="AX21" s="15"/>
      <c r="BD21" s="15"/>
      <c r="BG21" s="15"/>
      <c r="DE21" s="15"/>
      <c r="DH21" s="15"/>
      <c r="DK21" s="15"/>
      <c r="DN21" s="15"/>
      <c r="DQ21" s="15"/>
      <c r="DT21" s="15"/>
      <c r="DW21" s="15"/>
      <c r="DZ21" s="15"/>
      <c r="EC21" s="15"/>
      <c r="EF21" s="15"/>
      <c r="EK21" s="15"/>
      <c r="EM21" s="15"/>
      <c r="EP21" s="15"/>
      <c r="ES21" s="15"/>
    </row>
    <row r="22" spans="1:181" outlineLevel="1">
      <c r="A22" s="1" t="s">
        <v>120</v>
      </c>
      <c r="B22" s="4" t="s">
        <v>48</v>
      </c>
      <c r="C22" s="4" t="s">
        <v>121</v>
      </c>
      <c r="D22" s="43">
        <v>350000</v>
      </c>
      <c r="E22" s="34">
        <v>21.92</v>
      </c>
      <c r="F22" s="43">
        <v>350000</v>
      </c>
      <c r="G22" s="34">
        <v>21.92</v>
      </c>
      <c r="H22" s="46">
        <v>76722</v>
      </c>
      <c r="I22" s="36"/>
      <c r="J22" s="14"/>
      <c r="Y22" s="118"/>
      <c r="AF22" s="182"/>
      <c r="AH22" s="15"/>
      <c r="AS22" s="15"/>
      <c r="AX22" s="15"/>
      <c r="BD22" s="15"/>
      <c r="BG22" s="15"/>
      <c r="DE22" s="15"/>
      <c r="DH22" s="15"/>
      <c r="DK22" s="15"/>
      <c r="DN22" s="15"/>
      <c r="DQ22" s="15"/>
      <c r="DT22" s="15"/>
      <c r="DW22" s="15"/>
      <c r="DZ22" s="15"/>
      <c r="EC22" s="15"/>
      <c r="EF22" s="15"/>
      <c r="EK22" s="15"/>
      <c r="EM22" s="15"/>
      <c r="EP22" s="15"/>
      <c r="ES22" s="15"/>
    </row>
    <row r="23" spans="1:181" ht="17.25" customHeight="1" thickBot="1">
      <c r="A23" s="54" t="s">
        <v>120</v>
      </c>
      <c r="B23" s="55" t="s">
        <v>316</v>
      </c>
      <c r="C23" s="283" t="s">
        <v>363</v>
      </c>
      <c r="D23" s="57">
        <f>D12+D16+D17+D18+D19</f>
        <v>350000</v>
      </c>
      <c r="E23" s="58"/>
      <c r="F23" s="57">
        <f>F12+F16+F17+F18+F19</f>
        <v>350000</v>
      </c>
      <c r="G23" s="58"/>
      <c r="H23" s="57"/>
      <c r="I23" s="57">
        <f>I12+I16+I17+I18+I19</f>
        <v>78364</v>
      </c>
      <c r="J23" s="138" t="e">
        <f>I23/$I$332</f>
        <v>#REF!</v>
      </c>
      <c r="K23" s="60"/>
      <c r="L23" s="122">
        <f>L12+L16+L17+L18+L19</f>
        <v>36000</v>
      </c>
      <c r="M23" s="61">
        <f>L23/F23-1</f>
        <v>-0.89714285714285713</v>
      </c>
      <c r="N23" s="61">
        <f>L23/I23-1</f>
        <v>-0.54060538002143843</v>
      </c>
      <c r="O23" s="17">
        <f>L23/$L$332</f>
        <v>8.3526683684950042E-3</v>
      </c>
      <c r="P23" s="17"/>
      <c r="Q23" s="122">
        <f>Q12+Q16+Q17+Q18+Q19</f>
        <v>36000</v>
      </c>
      <c r="R23" s="122">
        <f>R12+R16+R17+R18+R19</f>
        <v>0</v>
      </c>
      <c r="S23" s="122">
        <f>S12+S16+S17+S18+S19</f>
        <v>7000</v>
      </c>
      <c r="T23" s="122">
        <f>T12+T16+T17+T18+T19</f>
        <v>-29000</v>
      </c>
      <c r="U23" s="155">
        <f>S23/Q23-1</f>
        <v>-0.80555555555555558</v>
      </c>
      <c r="Y23" s="122">
        <f>Y12+Y16+Y17+Y18+Y19</f>
        <v>7000</v>
      </c>
      <c r="Z23" s="122">
        <f>Z12+Z16+Z17+Z18+Z19</f>
        <v>0</v>
      </c>
      <c r="AA23" s="122">
        <f>AA12+AA16+AA17+AA18+AA19+AA13</f>
        <v>8350</v>
      </c>
      <c r="AB23" s="122">
        <f>AB12+AB16+AB17+AB18+AB19+AB13</f>
        <v>1350</v>
      </c>
      <c r="AE23" s="122">
        <f>AE12+AE16+AE17+AE18+AE19+AE13</f>
        <v>8350</v>
      </c>
      <c r="AF23" s="182"/>
      <c r="AH23" s="122">
        <f>AH12+AH16+AH17+AH18+AH19+AH13</f>
        <v>7344</v>
      </c>
      <c r="AI23" s="17">
        <f t="shared" ref="AI23:AI26" si="81">AH23/AE23</f>
        <v>0.87952095808383235</v>
      </c>
      <c r="AK23" s="122">
        <f>AK12+AK16+AK17+AK18+AK19+AK13</f>
        <v>99500</v>
      </c>
      <c r="AL23" s="193">
        <f t="shared" ref="AL23:AL25" si="82">AK23/L23</f>
        <v>2.7638888888888888</v>
      </c>
      <c r="AM23" s="17">
        <f t="shared" ref="AM23:AM25" si="83">AK23/AE23</f>
        <v>11.916167664670658</v>
      </c>
      <c r="AN23" s="17">
        <f t="shared" ref="AN23:AN25" si="84">AK23/AH23</f>
        <v>13.548474945533769</v>
      </c>
      <c r="AR23" s="122">
        <f>AR12+AR16+AR17+AR18+AR19+AR13</f>
        <v>0</v>
      </c>
      <c r="AS23" s="122">
        <f>AS12+AS16+AS17+AS18+AS19+AS13</f>
        <v>99500</v>
      </c>
      <c r="AU23" s="122">
        <f>AU12+AU16+AU17+AU18+AU19+AU13</f>
        <v>14000</v>
      </c>
      <c r="AV23" s="122">
        <f>AV12+AV16+AV17+AV18+AV19+AV13</f>
        <v>113500</v>
      </c>
      <c r="AX23" s="122">
        <f>AX12+AX16+AX17+AX18+AX19+AX13</f>
        <v>0</v>
      </c>
      <c r="AY23" s="122">
        <f>AY12+AY16+AY17+AY18+AY19+AY13</f>
        <v>113500</v>
      </c>
      <c r="BA23" s="122">
        <f>BA12+BA16+BA17+BA18+BA19+BA13</f>
        <v>0</v>
      </c>
      <c r="BB23" s="122">
        <f>BB12+BB16+BB17+BB18+BB19+BB13</f>
        <v>113500</v>
      </c>
      <c r="BD23" s="122">
        <f>BD12+BD16+BD17+BD18+BD19+BD13</f>
        <v>546500</v>
      </c>
      <c r="BE23" s="122">
        <f>BE12+BE16+BE17+BE18+BE19+BE13</f>
        <v>660000</v>
      </c>
      <c r="BG23" s="122">
        <f>BG12+BG16+BG17+BG18+BG19+BG13</f>
        <v>3200</v>
      </c>
      <c r="BH23" s="122">
        <f>BH12+BH16+BH17+BH18+BH19+BH13</f>
        <v>663200</v>
      </c>
      <c r="BJ23" s="122">
        <f>BJ12+BJ16+BJ17+BJ18+BJ19+BJ13</f>
        <v>650689.16</v>
      </c>
      <c r="BK23" s="236">
        <f t="shared" ref="BK23:BK25" si="85">BJ23/BH23</f>
        <v>0.98113564535585052</v>
      </c>
      <c r="BM23" s="122">
        <f>BM12+BM16+BM17+BM18+BM19+BM13</f>
        <v>135000</v>
      </c>
      <c r="BN23" s="236">
        <f t="shared" ref="BN23:BN25" si="86">BM23/BJ23</f>
        <v>0.20747233594609135</v>
      </c>
      <c r="BO23" s="236">
        <f t="shared" ref="BO23:BO25" si="87">BM23/BH23</f>
        <v>0.20355850422195415</v>
      </c>
      <c r="BQ23" s="122">
        <f>BQ12+BQ16+BQ17+BQ18+BQ19+BQ13</f>
        <v>0</v>
      </c>
      <c r="BR23" s="122">
        <f>BR12+BR16+BR17+BR18+BR19+BR13</f>
        <v>135000</v>
      </c>
      <c r="BT23" s="122">
        <f>BT12+BT16+BT17+BT18+BT19+BT13</f>
        <v>0</v>
      </c>
      <c r="BU23" s="122">
        <f>BU12+BU16+BU17+BU18+BU19+BU13</f>
        <v>135000</v>
      </c>
      <c r="BW23" s="122">
        <f>BW12+BW16+BW17+BW18+BW19+BW13</f>
        <v>0</v>
      </c>
      <c r="BX23" s="122">
        <f>BX12+BX16+BX17+BX18+BX19+BX13</f>
        <v>135000</v>
      </c>
      <c r="BZ23" s="122">
        <f>BZ12+BZ16+BZ17+BZ18+BZ19+BZ13</f>
        <v>0</v>
      </c>
      <c r="CA23" s="122">
        <f>CA12+CA16+CA17+CA18+CA19+CA13</f>
        <v>135000</v>
      </c>
      <c r="CC23" s="122">
        <f>CC12+CC16+CC17+CC18+CC19+CC13</f>
        <v>0</v>
      </c>
      <c r="CD23" s="122">
        <f>CD12+CD16+CD17+CD18+CD19+CD13</f>
        <v>135000</v>
      </c>
      <c r="CF23" s="122">
        <f>CF12+CF16+CF17+CF18+CF19+CF13</f>
        <v>0</v>
      </c>
      <c r="CG23" s="122">
        <f>CG12+CG16+CG17+CG18+CG19+CG13</f>
        <v>135000</v>
      </c>
      <c r="CI23" s="122">
        <f>CI12+CI16+CI17+CI18+CI19+CI13</f>
        <v>0</v>
      </c>
      <c r="CJ23" s="122">
        <f>CJ12+CJ16+CJ17+CJ18+CJ19+CJ13</f>
        <v>135000</v>
      </c>
      <c r="CL23" s="319">
        <f>CL12+CL16+CL17+CL18+CL19+CL13</f>
        <v>2500</v>
      </c>
      <c r="CM23" s="122">
        <f>CM12+CM16+CM17+CM18+CM19+CM13</f>
        <v>137500</v>
      </c>
      <c r="CO23" s="122">
        <f>CO12+CO16+CO17+CO18+CO19+CO13</f>
        <v>0</v>
      </c>
      <c r="CP23" s="122">
        <f>CP12+CP16+CP17+CP18+CP19+CP13</f>
        <v>137500</v>
      </c>
      <c r="CR23" s="122">
        <f>CR12+CR16+CR17+CR18+CR19+CR13</f>
        <v>0</v>
      </c>
      <c r="CS23" s="122">
        <f>CS12+CS16+CS17+CS18+CS19+CS13</f>
        <v>137500</v>
      </c>
      <c r="CU23" s="122">
        <f>CU12+CU16+CU17+CU18+CU19+CU13</f>
        <v>-130500</v>
      </c>
      <c r="CV23" s="122">
        <f>CV12+CV16+CV17+CV18+CV19+CV13</f>
        <v>7000</v>
      </c>
      <c r="CX23" s="122">
        <f>CX12+CX16+CX17+CX18+CX19+CX13</f>
        <v>0</v>
      </c>
      <c r="CY23" s="122">
        <f>CY12+CY16+CY17+CY18+CY19+CY13</f>
        <v>7000</v>
      </c>
      <c r="DA23" s="122">
        <f>DA12+DA16+DA17+DA18+DA19+DA13</f>
        <v>6708.24</v>
      </c>
      <c r="DC23" s="122">
        <f>DC12+DC16+DC17+DC18+DC19+DC13</f>
        <v>135000</v>
      </c>
      <c r="DE23" s="122">
        <f>DE12+DE16+DE17+DE18+DE19+DE13</f>
        <v>0</v>
      </c>
      <c r="DF23" s="122">
        <f>DF12+DF16+DF17+DF18+DF19+DF13</f>
        <v>135000</v>
      </c>
      <c r="DH23" s="122">
        <f>DH12+DH16+DH17+DH18+DH19+DH13</f>
        <v>0</v>
      </c>
      <c r="DI23" s="122">
        <f>DI12+DI16+DI17+DI18+DI19+DI13</f>
        <v>135000</v>
      </c>
      <c r="DK23" s="122">
        <f>DK12+DK16+DK17+DK18+DK19+DK13</f>
        <v>0</v>
      </c>
      <c r="DL23" s="122">
        <f>DL12+DL16+DL17+DL18+DL19+DL13</f>
        <v>135000</v>
      </c>
      <c r="DN23" s="122">
        <f>DN12+DN16+DN17+DN18+DN19+DN13+DN11</f>
        <v>0</v>
      </c>
      <c r="DO23" s="122">
        <f>DO12+DO16+DO17+DO18+DO19+DO13+DO11</f>
        <v>135000</v>
      </c>
      <c r="DQ23" s="122">
        <f>DQ12+DQ16+DQ17+DQ18+DQ19+DQ13+DQ11</f>
        <v>0</v>
      </c>
      <c r="DR23" s="122">
        <f>DR12+DR16+DR17+DR18+DR19+DR13+DR11</f>
        <v>135000</v>
      </c>
      <c r="DT23" s="122">
        <f>DT12+DT16+DT17+DT18+DT19+DT13+DT11</f>
        <v>0</v>
      </c>
      <c r="DU23" s="122">
        <f>DU12+DU16+DU17+DU18+DU19+DU13+DU11</f>
        <v>135000</v>
      </c>
      <c r="DW23" s="122">
        <f>DW12+DW16+DW17+DW18+DW19+DW13+DW11</f>
        <v>0</v>
      </c>
      <c r="DX23" s="122">
        <f>DX12+DX16+DX17+DX18+DX19+DX13+DX11</f>
        <v>135000</v>
      </c>
      <c r="DZ23" s="122">
        <f>DZ12+DZ16+DZ17+DZ18+DZ19+DZ13+DZ11</f>
        <v>0</v>
      </c>
      <c r="EA23" s="122">
        <f>EA12+EA16+EA17+EA18+EA19+EA13+EA11</f>
        <v>135000</v>
      </c>
      <c r="EC23" s="122">
        <f>EC12+EC16+EC17+EC18+EC19+EC13+EC11</f>
        <v>-127500</v>
      </c>
      <c r="ED23" s="122">
        <f>ED12+ED16+ED17+ED18+ED19+ED13+ED11</f>
        <v>7500</v>
      </c>
      <c r="EF23" s="122">
        <f>EF12+EF16+EF17+EF18+EF19+EF13+EF11</f>
        <v>-2000</v>
      </c>
      <c r="EG23" s="122">
        <f>EG12+EG16+EG17+EG18+EG19+EG13+EG11</f>
        <v>5500</v>
      </c>
      <c r="EI23" s="122">
        <f>EI12+EI16+EI17+EI18+EI19+EI13+EI11</f>
        <v>4983.51</v>
      </c>
      <c r="EK23" s="122">
        <f>EK12+EK16+EK17+EK18+EK19+EK13+EK11</f>
        <v>215000</v>
      </c>
      <c r="EL23" s="377">
        <f>EK23/EI23-1</f>
        <v>42.142283250159025</v>
      </c>
      <c r="EM23" s="122">
        <f>EM12+EM16+EM17+EM18+EM19+EM13+EM11</f>
        <v>0</v>
      </c>
      <c r="EN23" s="122">
        <f>EN12+EN16+EN17+EN18+EN19+EN13+EN11</f>
        <v>215000</v>
      </c>
      <c r="EP23" s="122">
        <f>EP12+EP16+EP17+EP18+EP19+EP13+EP11</f>
        <v>0</v>
      </c>
      <c r="EQ23" s="122">
        <f>EQ12+EQ16+EQ17+EQ18+EQ19+EQ13+EQ11</f>
        <v>215000</v>
      </c>
      <c r="ES23" s="122">
        <f>ES12+ES16+ES17+ES18+ES19+ES13+ES11</f>
        <v>0</v>
      </c>
      <c r="ET23" s="122">
        <f>ET12+ET16+ET17+ET18+ET19+ET13+ET11</f>
        <v>215000</v>
      </c>
      <c r="EV23" s="122">
        <f>EV12+EV16+EV17+EV18+EV19+EV13+EV11</f>
        <v>-30000</v>
      </c>
      <c r="EW23" s="122">
        <f>EW12+EW16+EW17+EW18+EW19+EW13+EW11</f>
        <v>185000</v>
      </c>
      <c r="EY23" s="122">
        <f>EY12+EY16+EY17+EY18+EY19+EY13+EY11</f>
        <v>0</v>
      </c>
      <c r="EZ23" s="122">
        <f>EZ12+EZ16+EZ17+EZ18+EZ19+EZ13+EZ11</f>
        <v>185000</v>
      </c>
      <c r="FB23" s="122">
        <f>FB12+FB16+FB17+FB18+FB19+FB13+FB11</f>
        <v>-40000</v>
      </c>
      <c r="FC23" s="122">
        <f>FC12+FC16+FC17+FC18+FC19+FC13+FC11</f>
        <v>145000</v>
      </c>
      <c r="FE23" s="122">
        <f>FE12+FE16+FE17+FE18+FE19+FE13+FE11</f>
        <v>-2000</v>
      </c>
      <c r="FF23" s="122">
        <f>FF12+FF16+FF17+FF18+FF19+FF13+FF11</f>
        <v>143000</v>
      </c>
      <c r="FH23" s="122">
        <f>FH12+FH16+FH17+FH18+FH19+FH13+FH11</f>
        <v>-14700</v>
      </c>
      <c r="FI23" s="122">
        <f>FI12+FI16+FI17+FI18+FI19+FI13+FI11</f>
        <v>128300</v>
      </c>
      <c r="FK23" s="122">
        <f>FK12+FK16+FK17+FK18+FK19+FK13+FK11</f>
        <v>-98300</v>
      </c>
      <c r="FL23" s="122">
        <f>FL12+FL16+FL17+FL18+FL19+FL13+FL11</f>
        <v>30000</v>
      </c>
      <c r="FN23" s="122">
        <f>FN12+FN16+FN17+FN18+FN19+FN13+FN11</f>
        <v>-10000</v>
      </c>
      <c r="FO23" s="122">
        <f>FO12+FO16+FO17+FO18+FO19+FO13+FO11</f>
        <v>20000</v>
      </c>
      <c r="FQ23" s="122">
        <v>-12400</v>
      </c>
      <c r="FR23" s="122">
        <v>7600</v>
      </c>
      <c r="FT23" s="122">
        <f>FT12+FT16+FT17+FT18+FT19+FT13+FT11</f>
        <v>7564.32</v>
      </c>
      <c r="FV23" s="122">
        <f>FV12+FV16+FV17+FV18+FV19+FV13+FV11</f>
        <v>500000</v>
      </c>
      <c r="FW23" s="235">
        <f t="shared" ref="FW23:FW26" si="88">FV23/FT23</f>
        <v>66.09979482623686</v>
      </c>
    </row>
    <row r="24" spans="1:181" ht="15" customHeight="1" thickTop="1" thickBot="1">
      <c r="A24" s="64" t="s">
        <v>120</v>
      </c>
      <c r="B24" s="65" t="s">
        <v>357</v>
      </c>
      <c r="C24" s="284" t="s">
        <v>328</v>
      </c>
      <c r="D24" s="66">
        <f>D19</f>
        <v>110000</v>
      </c>
      <c r="E24" s="67"/>
      <c r="F24" s="66">
        <f>F19</f>
        <v>110000</v>
      </c>
      <c r="G24" s="67"/>
      <c r="H24" s="66"/>
      <c r="I24" s="66">
        <f>I19</f>
        <v>61000</v>
      </c>
      <c r="J24" s="68"/>
      <c r="K24" s="69"/>
      <c r="L24" s="123">
        <f>L19</f>
        <v>30000</v>
      </c>
      <c r="M24" s="70">
        <f>L24/F24-1</f>
        <v>-0.72727272727272729</v>
      </c>
      <c r="N24" s="70">
        <f>L24/I24-1</f>
        <v>-0.50819672131147542</v>
      </c>
      <c r="Q24" s="123">
        <f>Q19</f>
        <v>30000</v>
      </c>
      <c r="R24" s="123">
        <f>R19</f>
        <v>0</v>
      </c>
      <c r="S24" s="123">
        <f>S19</f>
        <v>5000</v>
      </c>
      <c r="T24" s="123">
        <f>T19</f>
        <v>-25000</v>
      </c>
      <c r="U24" s="155">
        <f>S24/Q24-1</f>
        <v>-0.83333333333333337</v>
      </c>
      <c r="Y24" s="123">
        <f>Y19</f>
        <v>5000</v>
      </c>
      <c r="Z24" s="123">
        <f>Z19</f>
        <v>0</v>
      </c>
      <c r="AA24" s="123">
        <f>AA19+AA13</f>
        <v>8350</v>
      </c>
      <c r="AB24" s="123">
        <f>AB19+AB13</f>
        <v>3350</v>
      </c>
      <c r="AE24" s="123">
        <f>AE19+AE13</f>
        <v>8350</v>
      </c>
      <c r="AF24" s="182"/>
      <c r="AH24" s="123">
        <f>AH19+AH13</f>
        <v>7344</v>
      </c>
      <c r="AI24" s="17">
        <f t="shared" si="81"/>
        <v>0.87952095808383235</v>
      </c>
      <c r="AK24" s="123">
        <f>AK19+AK13</f>
        <v>74500</v>
      </c>
      <c r="AL24" s="193">
        <f t="shared" si="82"/>
        <v>2.4833333333333334</v>
      </c>
      <c r="AM24" s="17">
        <f t="shared" si="83"/>
        <v>8.9221556886227553</v>
      </c>
      <c r="AN24" s="17">
        <f t="shared" si="84"/>
        <v>10.14433551198257</v>
      </c>
      <c r="AR24" s="123">
        <f>AR19+AR13</f>
        <v>0</v>
      </c>
      <c r="AS24" s="123">
        <f>AS19+AS13</f>
        <v>74500</v>
      </c>
      <c r="AV24" s="123">
        <f>AV19+AV13</f>
        <v>74500</v>
      </c>
      <c r="AX24" s="15"/>
      <c r="AY24" s="123">
        <f>AY19+AY13</f>
        <v>74500</v>
      </c>
      <c r="BA24" s="123">
        <f>BA19+BA13</f>
        <v>0</v>
      </c>
      <c r="BB24" s="123">
        <f>BB19+BB13</f>
        <v>74500</v>
      </c>
      <c r="BD24" s="123">
        <f>BD19+BD13</f>
        <v>525500</v>
      </c>
      <c r="BE24" s="123">
        <f>BE19+BE13</f>
        <v>600000</v>
      </c>
      <c r="BG24" s="123">
        <f>BG19+BG13</f>
        <v>3200</v>
      </c>
      <c r="BH24" s="123">
        <f>BH19+BH13</f>
        <v>603200</v>
      </c>
      <c r="BJ24" s="123">
        <f>BJ19+BJ13</f>
        <v>603114.38</v>
      </c>
      <c r="BK24" s="236">
        <f t="shared" si="85"/>
        <v>0.99985805702917774</v>
      </c>
      <c r="BM24" s="123">
        <f>BM19+BM13</f>
        <v>130000</v>
      </c>
      <c r="BN24" s="236">
        <f t="shared" si="86"/>
        <v>0.21554783687963136</v>
      </c>
      <c r="BO24" s="236">
        <f t="shared" si="87"/>
        <v>0.21551724137931033</v>
      </c>
      <c r="BQ24" s="123">
        <f>BQ19+BQ13</f>
        <v>0</v>
      </c>
      <c r="BR24" s="123">
        <f>BR19+BR13</f>
        <v>130000</v>
      </c>
      <c r="BT24" s="123">
        <f>BT19+BT13</f>
        <v>0</v>
      </c>
      <c r="BU24" s="123">
        <f>BU19+BU13</f>
        <v>130000</v>
      </c>
      <c r="BW24" s="123">
        <f>BW19+BW13</f>
        <v>0</v>
      </c>
      <c r="BX24" s="123">
        <f>BX19+BX13</f>
        <v>130000</v>
      </c>
      <c r="BZ24" s="123">
        <f>BZ19+BZ13</f>
        <v>0</v>
      </c>
      <c r="CA24" s="123">
        <f>CA19+CA13</f>
        <v>130000</v>
      </c>
      <c r="CC24" s="123">
        <f>CC19+CC13</f>
        <v>0</v>
      </c>
      <c r="CD24" s="123">
        <f>CD19+CD13</f>
        <v>130000</v>
      </c>
      <c r="CF24" s="123">
        <f>CF19+CF13</f>
        <v>0</v>
      </c>
      <c r="CG24" s="123">
        <f>CG19+CG13</f>
        <v>130000</v>
      </c>
      <c r="CI24" s="123">
        <f>CI19+CI13</f>
        <v>0</v>
      </c>
      <c r="CJ24" s="123">
        <f>CJ19+CJ13</f>
        <v>130000</v>
      </c>
      <c r="CL24" s="319">
        <f>CL19+CL13</f>
        <v>0</v>
      </c>
      <c r="CM24" s="123">
        <f>CM19+CM13</f>
        <v>130000</v>
      </c>
      <c r="CO24" s="123">
        <f>CO19+CO13</f>
        <v>0</v>
      </c>
      <c r="CP24" s="123">
        <f>CP19+CP13</f>
        <v>130000</v>
      </c>
      <c r="CR24" s="123">
        <f>CR19+CR13</f>
        <v>0</v>
      </c>
      <c r="CS24" s="123">
        <f>CS19+CS13</f>
        <v>130000</v>
      </c>
      <c r="CU24" s="123">
        <f>CU19+CU13</f>
        <v>-130000</v>
      </c>
      <c r="CV24" s="123">
        <f>CV19+CV13</f>
        <v>0</v>
      </c>
      <c r="CX24" s="123">
        <f>CX19+CX13</f>
        <v>0</v>
      </c>
      <c r="CY24" s="123">
        <f>CY19+CY13</f>
        <v>0</v>
      </c>
      <c r="DA24" s="123">
        <f>DA19+DA13</f>
        <v>0</v>
      </c>
      <c r="DC24" s="123">
        <f>DC19+DC13</f>
        <v>0</v>
      </c>
      <c r="DE24" s="123">
        <f>DE19+DE13</f>
        <v>0</v>
      </c>
      <c r="DF24" s="123">
        <f>DF19+DF13</f>
        <v>0</v>
      </c>
      <c r="DH24" s="123">
        <f>DH19+DH13</f>
        <v>0</v>
      </c>
      <c r="DI24" s="123">
        <f>DI19+DI13</f>
        <v>0</v>
      </c>
      <c r="DK24" s="123">
        <f>DK19+DK13</f>
        <v>0</v>
      </c>
      <c r="DL24" s="123">
        <f>DL19+DL13</f>
        <v>0</v>
      </c>
      <c r="DN24" s="123">
        <f>DN19+DN13</f>
        <v>0</v>
      </c>
      <c r="DO24" s="123">
        <f>DO19+DO13</f>
        <v>0</v>
      </c>
      <c r="DQ24" s="123">
        <f>DQ19+DQ13</f>
        <v>0</v>
      </c>
      <c r="DR24" s="123">
        <f>DR19+DR13</f>
        <v>0</v>
      </c>
      <c r="DT24" s="123">
        <f>DT19+DT13</f>
        <v>0</v>
      </c>
      <c r="DU24" s="123">
        <f>DU19+DU13</f>
        <v>0</v>
      </c>
      <c r="DW24" s="123">
        <f>DW19+DW13</f>
        <v>0</v>
      </c>
      <c r="DX24" s="123">
        <f>DX19+DX13</f>
        <v>0</v>
      </c>
      <c r="DZ24" s="123">
        <f>DZ19+DZ13</f>
        <v>0</v>
      </c>
      <c r="EA24" s="123">
        <f>EA19+EA13</f>
        <v>0</v>
      </c>
      <c r="EC24" s="123">
        <f>EC19+EC13</f>
        <v>2500</v>
      </c>
      <c r="ED24" s="123">
        <f>ED19+ED13</f>
        <v>2500</v>
      </c>
      <c r="EF24" s="123">
        <f>EF19+EF13</f>
        <v>0</v>
      </c>
      <c r="EG24" s="123">
        <f>EG19+EG13</f>
        <v>2500</v>
      </c>
      <c r="EI24" s="123">
        <f>EI19+EI13</f>
        <v>2481.23</v>
      </c>
      <c r="EK24" s="123">
        <f>EK19+EK13</f>
        <v>100000</v>
      </c>
      <c r="EM24" s="123">
        <f>EM19+EM13</f>
        <v>0</v>
      </c>
      <c r="EN24" s="123">
        <f>EN19+EN13</f>
        <v>100000</v>
      </c>
      <c r="EP24" s="123">
        <f>EP19+EP13</f>
        <v>0</v>
      </c>
      <c r="EQ24" s="123">
        <f>EQ19+EQ13</f>
        <v>100000</v>
      </c>
      <c r="ES24" s="123">
        <f>ES19+ES13</f>
        <v>0</v>
      </c>
      <c r="ET24" s="123">
        <f>ET19+ET13</f>
        <v>100000</v>
      </c>
      <c r="EV24" s="123">
        <f>EV19+EV13</f>
        <v>-30000</v>
      </c>
      <c r="EW24" s="123">
        <f>EW19+EW13</f>
        <v>70000</v>
      </c>
      <c r="EY24" s="123">
        <f>EY19+EY13</f>
        <v>0</v>
      </c>
      <c r="EZ24" s="123">
        <f>EZ19+EZ13</f>
        <v>70000</v>
      </c>
      <c r="FB24" s="123">
        <f>FB19+FB13</f>
        <v>-40000</v>
      </c>
      <c r="FC24" s="123">
        <f>FC19+FC13</f>
        <v>30000</v>
      </c>
      <c r="FE24" s="123">
        <f>FE19+FE13</f>
        <v>0</v>
      </c>
      <c r="FF24" s="123">
        <f>FF19+FF13</f>
        <v>30000</v>
      </c>
      <c r="FH24" s="123">
        <f>FH19+FH13</f>
        <v>0</v>
      </c>
      <c r="FI24" s="123">
        <f>FI19+FI13</f>
        <v>30000</v>
      </c>
      <c r="FK24" s="123">
        <f>FK19+FK13</f>
        <v>-10000</v>
      </c>
      <c r="FL24" s="123">
        <f>FL19+FL13</f>
        <v>20000</v>
      </c>
      <c r="FN24" s="123">
        <f>FN19+FN13</f>
        <v>0</v>
      </c>
      <c r="FO24" s="123">
        <f>FO19+FO13</f>
        <v>20000</v>
      </c>
      <c r="FQ24" s="123">
        <v>-12400</v>
      </c>
      <c r="FR24" s="123">
        <v>7600</v>
      </c>
      <c r="FT24" s="123">
        <f>FT19+FT13</f>
        <v>7564.32</v>
      </c>
      <c r="FV24" s="123">
        <f>FV19+FV13</f>
        <v>500000</v>
      </c>
      <c r="FW24" s="235">
        <f t="shared" si="88"/>
        <v>66.09979482623686</v>
      </c>
    </row>
    <row r="25" spans="1:181" ht="15.75" customHeight="1" thickTop="1" thickBot="1">
      <c r="A25" s="75" t="s">
        <v>120</v>
      </c>
      <c r="B25" s="76" t="s">
        <v>277</v>
      </c>
      <c r="C25" s="285" t="s">
        <v>329</v>
      </c>
      <c r="D25" s="78">
        <f>D14+D20</f>
        <v>0</v>
      </c>
      <c r="E25" s="79"/>
      <c r="F25" s="78">
        <f>F14+F20</f>
        <v>0</v>
      </c>
      <c r="G25" s="79"/>
      <c r="H25" s="78"/>
      <c r="I25" s="78">
        <f>I14+I20</f>
        <v>0</v>
      </c>
      <c r="J25" s="80"/>
      <c r="K25" s="77"/>
      <c r="L25" s="124">
        <f>L14+L20</f>
        <v>200000</v>
      </c>
      <c r="M25" s="81" t="e">
        <f>L25/F25-1</f>
        <v>#DIV/0!</v>
      </c>
      <c r="N25" s="81" t="e">
        <f>L25/I25-1</f>
        <v>#DIV/0!</v>
      </c>
      <c r="Q25" s="124">
        <f>Q14+Q20</f>
        <v>200000</v>
      </c>
      <c r="R25" s="124">
        <f>R14+R20</f>
        <v>14800</v>
      </c>
      <c r="S25" s="124">
        <f>S14+S20</f>
        <v>167000</v>
      </c>
      <c r="T25" s="124">
        <f>T14+T20</f>
        <v>-33000</v>
      </c>
      <c r="U25" s="156">
        <f>S25/Q25-1</f>
        <v>-0.16500000000000004</v>
      </c>
      <c r="Y25" s="124">
        <f>Y14+Y20</f>
        <v>167000</v>
      </c>
      <c r="Z25" s="124">
        <f>Z14+Z20</f>
        <v>0</v>
      </c>
      <c r="AA25" s="124">
        <f>AA14+AA20</f>
        <v>168200</v>
      </c>
      <c r="AB25" s="124">
        <f>AB14+AB20</f>
        <v>1200</v>
      </c>
      <c r="AE25" s="124">
        <f>AE14+AE20</f>
        <v>168200</v>
      </c>
      <c r="AF25" s="182"/>
      <c r="AH25" s="124">
        <f>AH14+AH20</f>
        <v>167865</v>
      </c>
      <c r="AI25" s="17">
        <f t="shared" si="81"/>
        <v>0.99800832342449464</v>
      </c>
      <c r="AK25" s="124">
        <f>AK14+AK20</f>
        <v>467300</v>
      </c>
      <c r="AL25" s="193">
        <f t="shared" si="82"/>
        <v>2.3365</v>
      </c>
      <c r="AM25" s="17">
        <f t="shared" si="83"/>
        <v>2.7782401902497029</v>
      </c>
      <c r="AN25" s="17">
        <f t="shared" si="84"/>
        <v>2.7837845888064816</v>
      </c>
      <c r="AR25" s="124">
        <f>AR14+AR20</f>
        <v>0</v>
      </c>
      <c r="AS25" s="124">
        <f>AS14+AS20</f>
        <v>467300</v>
      </c>
      <c r="AV25" s="124">
        <f>AV14+AV20</f>
        <v>467300</v>
      </c>
      <c r="AX25" s="15"/>
      <c r="AY25" s="124">
        <f>AY14+AY20</f>
        <v>467300</v>
      </c>
      <c r="BA25" s="124">
        <f>BA14+BA20</f>
        <v>-33000</v>
      </c>
      <c r="BB25" s="124">
        <f>BB14+BB20</f>
        <v>434300</v>
      </c>
      <c r="BD25" s="124">
        <f>BD14+BD20</f>
        <v>-434300</v>
      </c>
      <c r="BE25" s="124">
        <f>BE14+BE20</f>
        <v>0</v>
      </c>
      <c r="BG25" s="124">
        <f>BG14+BG20</f>
        <v>0</v>
      </c>
      <c r="BH25" s="124">
        <f>BH14+BH20</f>
        <v>0</v>
      </c>
      <c r="BJ25" s="124">
        <f>BJ14+BJ20</f>
        <v>0</v>
      </c>
      <c r="BK25" s="237" t="e">
        <f t="shared" si="85"/>
        <v>#DIV/0!</v>
      </c>
      <c r="BM25" s="124">
        <f>BM14+BM20</f>
        <v>115000</v>
      </c>
      <c r="BN25" s="237" t="e">
        <f t="shared" si="86"/>
        <v>#DIV/0!</v>
      </c>
      <c r="BO25" s="237" t="e">
        <f t="shared" si="87"/>
        <v>#DIV/0!</v>
      </c>
      <c r="BQ25" s="124">
        <f>BQ14+BQ20</f>
        <v>0</v>
      </c>
      <c r="BR25" s="124">
        <f>BR14+BR20</f>
        <v>115000</v>
      </c>
      <c r="BT25" s="124">
        <f>BT14+BT20</f>
        <v>0</v>
      </c>
      <c r="BU25" s="124">
        <f>BU14+BU20</f>
        <v>115000</v>
      </c>
      <c r="BW25" s="124">
        <f>BW14+BW20</f>
        <v>0</v>
      </c>
      <c r="BX25" s="124">
        <f>BX14+BX20</f>
        <v>115000</v>
      </c>
      <c r="BZ25" s="124">
        <f>BZ14+BZ20</f>
        <v>0</v>
      </c>
      <c r="CA25" s="124">
        <f>CA14+CA20</f>
        <v>115000</v>
      </c>
      <c r="CC25" s="124">
        <f>CC14+CC20</f>
        <v>0</v>
      </c>
      <c r="CD25" s="124">
        <f>CD14+CD20</f>
        <v>115000</v>
      </c>
      <c r="CF25" s="124">
        <f>CF14+CF20</f>
        <v>0</v>
      </c>
      <c r="CG25" s="124">
        <f>CG14+CG20</f>
        <v>115000</v>
      </c>
      <c r="CI25" s="124">
        <f>CI14+CI20</f>
        <v>0</v>
      </c>
      <c r="CJ25" s="124">
        <f>CJ14+CJ20</f>
        <v>115000</v>
      </c>
      <c r="CL25" s="319">
        <f>CL14+CL20</f>
        <v>-49300</v>
      </c>
      <c r="CM25" s="124">
        <f>CM14+CM20</f>
        <v>65700</v>
      </c>
      <c r="CO25" s="124">
        <f>CO14+CO20</f>
        <v>-50300</v>
      </c>
      <c r="CP25" s="124">
        <f>CP14+CP20</f>
        <v>15400</v>
      </c>
      <c r="CR25" s="124">
        <f>CR14+CR20</f>
        <v>0</v>
      </c>
      <c r="CS25" s="124">
        <f>CS14+CS20</f>
        <v>15400</v>
      </c>
      <c r="CU25" s="124">
        <f>CU14+CU20</f>
        <v>-15400</v>
      </c>
      <c r="CV25" s="124">
        <f>CV14+CV20</f>
        <v>0</v>
      </c>
      <c r="CX25" s="124">
        <f>CX14+CX20</f>
        <v>0</v>
      </c>
      <c r="CY25" s="124">
        <f>CY14+CY20</f>
        <v>0</v>
      </c>
      <c r="DA25" s="124">
        <f>DA14+DA20</f>
        <v>0</v>
      </c>
      <c r="DC25" s="124">
        <f>DC14+DC20</f>
        <v>0</v>
      </c>
      <c r="DE25" s="124">
        <f>DE14+DE20</f>
        <v>0</v>
      </c>
      <c r="DF25" s="124">
        <f>DF14+DF20</f>
        <v>0</v>
      </c>
      <c r="DH25" s="124">
        <f>DH14+DH20</f>
        <v>0</v>
      </c>
      <c r="DI25" s="124">
        <f>DI14+DI20</f>
        <v>0</v>
      </c>
      <c r="DK25" s="124">
        <f>DK14+DK20</f>
        <v>0</v>
      </c>
      <c r="DL25" s="124">
        <f>DL14+DL20</f>
        <v>0</v>
      </c>
      <c r="DN25" s="124">
        <f>DN14+DN20</f>
        <v>0</v>
      </c>
      <c r="DO25" s="124">
        <f>DO14+DO20</f>
        <v>0</v>
      </c>
      <c r="DQ25" s="124">
        <f>DQ14+DQ20</f>
        <v>0</v>
      </c>
      <c r="DR25" s="124">
        <f>DR14+DR20</f>
        <v>0</v>
      </c>
      <c r="DT25" s="124">
        <f>DT14+DT20</f>
        <v>0</v>
      </c>
      <c r="DU25" s="124">
        <f>DU14+DU20</f>
        <v>0</v>
      </c>
      <c r="DW25" s="124">
        <f>DW14+DW20</f>
        <v>0</v>
      </c>
      <c r="DX25" s="124">
        <f>DX14+DX20</f>
        <v>0</v>
      </c>
      <c r="DZ25" s="124">
        <f>DZ14+DZ20</f>
        <v>0</v>
      </c>
      <c r="EA25" s="124">
        <f>EA14+EA20</f>
        <v>0</v>
      </c>
      <c r="EC25" s="124">
        <f>EC14+EC20</f>
        <v>0</v>
      </c>
      <c r="ED25" s="124">
        <f>ED14+ED20</f>
        <v>0</v>
      </c>
      <c r="EF25" s="124">
        <f>EF14+EF20</f>
        <v>0</v>
      </c>
      <c r="EG25" s="124">
        <f>EG14+EG20</f>
        <v>0</v>
      </c>
      <c r="EI25" s="124">
        <f>EI14+EI20</f>
        <v>0</v>
      </c>
      <c r="EK25" s="124">
        <f>EK14+EK20</f>
        <v>0</v>
      </c>
      <c r="EL25" s="377" t="e">
        <f>EK25/EI25-1</f>
        <v>#DIV/0!</v>
      </c>
      <c r="EM25" s="124">
        <f>EM14+EM20</f>
        <v>0</v>
      </c>
      <c r="EN25" s="124">
        <f>EN14+EN20</f>
        <v>0</v>
      </c>
      <c r="EP25" s="124">
        <f>EP14+EP20</f>
        <v>0</v>
      </c>
      <c r="EQ25" s="124">
        <f>EQ14+EQ20</f>
        <v>0</v>
      </c>
      <c r="ES25" s="124">
        <f>ES14+ES20</f>
        <v>0</v>
      </c>
      <c r="ET25" s="124">
        <f>ET14+ET20</f>
        <v>0</v>
      </c>
      <c r="EV25" s="124">
        <f>EV14+EV20</f>
        <v>0</v>
      </c>
      <c r="EW25" s="124">
        <f>EW14+EW20</f>
        <v>0</v>
      </c>
      <c r="EY25" s="124">
        <f>EY14+EY20</f>
        <v>0</v>
      </c>
      <c r="EZ25" s="124">
        <f>EZ14+EZ20</f>
        <v>0</v>
      </c>
      <c r="FB25" s="124">
        <f>FB14+FB20</f>
        <v>0</v>
      </c>
      <c r="FC25" s="124">
        <f>FC14+FC20</f>
        <v>0</v>
      </c>
      <c r="FE25" s="124">
        <f>FE14+FE20</f>
        <v>0</v>
      </c>
      <c r="FF25" s="124">
        <f>FF14+FF20</f>
        <v>0</v>
      </c>
      <c r="FH25" s="124">
        <f>FH14+FH20</f>
        <v>0</v>
      </c>
      <c r="FI25" s="124">
        <f>FI14+FI20</f>
        <v>0</v>
      </c>
      <c r="FK25" s="124">
        <f>FK14+FK20</f>
        <v>0</v>
      </c>
      <c r="FL25" s="124">
        <f>FL14+FL20</f>
        <v>0</v>
      </c>
      <c r="FN25" s="124">
        <f>FN14+FN20</f>
        <v>0</v>
      </c>
      <c r="FO25" s="124">
        <f>FO14+FO20</f>
        <v>0</v>
      </c>
      <c r="FQ25" s="124">
        <v>0</v>
      </c>
      <c r="FR25" s="124">
        <v>0</v>
      </c>
      <c r="FT25" s="124">
        <f>FT14+FT20</f>
        <v>0</v>
      </c>
      <c r="FV25" s="124">
        <f>FV14+FV20</f>
        <v>0</v>
      </c>
      <c r="FW25" s="235" t="e">
        <f t="shared" si="88"/>
        <v>#DIV/0!</v>
      </c>
    </row>
    <row r="26" spans="1:181" ht="15.75" outlineLevel="1" thickTop="1">
      <c r="A26" s="1" t="s">
        <v>299</v>
      </c>
      <c r="B26" s="1" t="s">
        <v>146</v>
      </c>
      <c r="C26" s="4" t="s">
        <v>147</v>
      </c>
      <c r="D26" s="43">
        <v>0</v>
      </c>
      <c r="E26" s="34">
        <v>0</v>
      </c>
      <c r="F26" s="43">
        <v>0</v>
      </c>
      <c r="G26" s="34">
        <v>0</v>
      </c>
      <c r="H26" s="46">
        <v>2094.5</v>
      </c>
      <c r="I26" s="48">
        <v>2095</v>
      </c>
      <c r="L26" s="125">
        <v>0</v>
      </c>
      <c r="M26" s="17" t="e">
        <f>L26/F26-1</f>
        <v>#DIV/0!</v>
      </c>
      <c r="N26" s="17">
        <f>L26/I26-1</f>
        <v>-1</v>
      </c>
      <c r="AA26" s="118">
        <v>1900</v>
      </c>
      <c r="AB26" s="185">
        <f>AA26-Y26</f>
        <v>1900</v>
      </c>
      <c r="AC26" s="187">
        <f t="shared" ref="AC26" si="89">AA26-Y26</f>
        <v>1900</v>
      </c>
      <c r="AD26" s="187"/>
      <c r="AE26" s="118">
        <v>1900</v>
      </c>
      <c r="AF26" s="182"/>
      <c r="AH26" s="15">
        <v>1812.85</v>
      </c>
      <c r="AI26" s="17">
        <f t="shared" si="81"/>
        <v>0.95413157894736833</v>
      </c>
      <c r="AK26" s="118">
        <v>10000</v>
      </c>
      <c r="AS26" s="15">
        <f t="shared" ref="AS26" si="90">AR26+AK26</f>
        <v>10000</v>
      </c>
      <c r="AV26" s="15">
        <f>AS26+AU26</f>
        <v>10000</v>
      </c>
      <c r="AX26" s="15"/>
      <c r="AY26" s="15">
        <f>AV26+AX26</f>
        <v>10000</v>
      </c>
      <c r="BB26" s="15">
        <f>AY26+BA26</f>
        <v>10000</v>
      </c>
      <c r="BD26" s="15">
        <v>-10000</v>
      </c>
      <c r="BE26" s="15">
        <f>BB26+BD26</f>
        <v>0</v>
      </c>
      <c r="BG26" s="15"/>
      <c r="BH26" s="15">
        <f>BE26+BG26</f>
        <v>0</v>
      </c>
      <c r="BJ26" s="15">
        <v>0</v>
      </c>
      <c r="BK26" s="235"/>
      <c r="BM26" s="15">
        <v>0</v>
      </c>
      <c r="BN26" s="235" t="e">
        <f t="shared" ref="BN26" si="91">BM26/BJ26</f>
        <v>#DIV/0!</v>
      </c>
      <c r="BO26" s="235" t="e">
        <f t="shared" ref="BO26" si="92">BM26/BH26</f>
        <v>#DIV/0!</v>
      </c>
      <c r="BQ26" s="15"/>
      <c r="BR26" s="15">
        <f>BM26+BQ26</f>
        <v>0</v>
      </c>
      <c r="BT26" s="15"/>
      <c r="BU26" s="15">
        <f>BR26+BT26</f>
        <v>0</v>
      </c>
      <c r="BW26" s="15"/>
      <c r="BX26" s="15">
        <f>BU26+BW26</f>
        <v>0</v>
      </c>
      <c r="BZ26" s="15"/>
      <c r="CA26" s="15">
        <f>BX26+BZ26</f>
        <v>0</v>
      </c>
      <c r="CC26" s="15"/>
      <c r="CD26" s="15">
        <f>CA26+CC26</f>
        <v>0</v>
      </c>
      <c r="CF26" s="15"/>
      <c r="CG26" s="15">
        <f>CD26+CF26</f>
        <v>0</v>
      </c>
      <c r="CI26" s="15"/>
      <c r="CJ26" s="15">
        <f>CG26+CI26</f>
        <v>0</v>
      </c>
      <c r="CM26" s="15">
        <f>CJ26+CL26</f>
        <v>0</v>
      </c>
      <c r="CP26" s="15">
        <f>CM26+CO26</f>
        <v>0</v>
      </c>
      <c r="CS26" s="15">
        <f>CP26+CR26</f>
        <v>0</v>
      </c>
      <c r="CV26" s="15">
        <f>CS26+CU26</f>
        <v>0</v>
      </c>
      <c r="CY26" s="15">
        <f>CV26+CX26</f>
        <v>0</v>
      </c>
      <c r="DE26" s="15"/>
      <c r="DF26" s="15">
        <f>DC26+DE26</f>
        <v>0</v>
      </c>
      <c r="DH26" s="15"/>
      <c r="DI26" s="15">
        <f>DF26+DH26</f>
        <v>0</v>
      </c>
      <c r="DK26" s="15"/>
      <c r="DL26" s="15">
        <f>DI26+DK26</f>
        <v>0</v>
      </c>
      <c r="DN26" s="15"/>
      <c r="DO26" s="15">
        <f>DL26+DN26</f>
        <v>0</v>
      </c>
      <c r="DQ26" s="15"/>
      <c r="DR26" s="15">
        <f>DO26+DQ26</f>
        <v>0</v>
      </c>
      <c r="DT26" s="15"/>
      <c r="DU26" s="15">
        <f>DR26+DT26</f>
        <v>0</v>
      </c>
      <c r="DW26" s="15"/>
      <c r="DX26" s="15">
        <f>DU26+DW26</f>
        <v>0</v>
      </c>
      <c r="DZ26" s="15"/>
      <c r="EA26" s="15">
        <f>DX26+DZ26</f>
        <v>0</v>
      </c>
      <c r="EC26" s="15"/>
      <c r="ED26" s="15">
        <f>EA26+EC26</f>
        <v>0</v>
      </c>
      <c r="EF26" s="15"/>
      <c r="EG26" s="15">
        <f>ED26+EF26</f>
        <v>0</v>
      </c>
      <c r="EK26" s="15">
        <v>25000</v>
      </c>
      <c r="EM26" s="15"/>
      <c r="EN26" s="15">
        <f>EK26+EM26</f>
        <v>25000</v>
      </c>
      <c r="EP26" s="15"/>
      <c r="EQ26" s="15">
        <f>EN26+EP26</f>
        <v>25000</v>
      </c>
      <c r="ES26" s="15"/>
      <c r="ET26" s="15">
        <f>EQ26+ES26</f>
        <v>25000</v>
      </c>
      <c r="EW26" s="15">
        <f>ET26+EV26</f>
        <v>25000</v>
      </c>
      <c r="EZ26" s="15">
        <f>EW26+EY26</f>
        <v>25000</v>
      </c>
      <c r="FC26" s="15">
        <f>EZ26+FB26</f>
        <v>25000</v>
      </c>
      <c r="FF26" s="15">
        <f>FC26+FE26</f>
        <v>25000</v>
      </c>
      <c r="FI26" s="15">
        <f>FF26+FH26</f>
        <v>25000</v>
      </c>
      <c r="FL26" s="15">
        <f>FI26+FK26</f>
        <v>25000</v>
      </c>
      <c r="FO26" s="15">
        <f>FL26+FN26</f>
        <v>25000</v>
      </c>
      <c r="FR26" s="15">
        <v>25000</v>
      </c>
      <c r="FV26" s="15">
        <v>25000</v>
      </c>
      <c r="FW26" s="235" t="e">
        <f t="shared" si="88"/>
        <v>#DIV/0!</v>
      </c>
    </row>
    <row r="27" spans="1:181" outlineLevel="1">
      <c r="A27" s="1" t="s">
        <v>299</v>
      </c>
      <c r="B27" s="4" t="s">
        <v>46</v>
      </c>
      <c r="C27" s="4" t="s">
        <v>300</v>
      </c>
      <c r="D27" s="43">
        <v>0</v>
      </c>
      <c r="E27" s="34">
        <v>0</v>
      </c>
      <c r="F27" s="43">
        <v>0</v>
      </c>
      <c r="G27" s="34">
        <v>0</v>
      </c>
      <c r="H27" s="46">
        <v>2094.5</v>
      </c>
      <c r="I27" s="36"/>
      <c r="J27" s="14"/>
      <c r="AF27" s="182"/>
      <c r="AH27" s="15"/>
      <c r="AX27" s="15"/>
      <c r="BD27" s="15"/>
      <c r="BG27" s="15"/>
      <c r="DE27" s="15"/>
      <c r="DH27" s="15"/>
      <c r="DK27" s="15"/>
      <c r="DN27" s="15"/>
      <c r="DQ27" s="15"/>
      <c r="DT27" s="15"/>
      <c r="DW27" s="15"/>
      <c r="DZ27" s="15"/>
      <c r="EC27" s="15"/>
      <c r="EF27" s="15"/>
      <c r="EK27" s="15"/>
      <c r="EM27" s="15"/>
      <c r="EP27" s="15"/>
      <c r="ES27" s="15"/>
    </row>
    <row r="28" spans="1:181" outlineLevel="1">
      <c r="A28" s="1" t="s">
        <v>301</v>
      </c>
      <c r="B28" s="1" t="s">
        <v>146</v>
      </c>
      <c r="C28" s="4" t="s">
        <v>147</v>
      </c>
      <c r="D28" s="43">
        <v>0</v>
      </c>
      <c r="E28" s="34">
        <v>0</v>
      </c>
      <c r="F28" s="43">
        <v>0</v>
      </c>
      <c r="G28" s="34">
        <v>0</v>
      </c>
      <c r="H28" s="46">
        <v>1356.5</v>
      </c>
      <c r="I28" s="36">
        <v>1357</v>
      </c>
      <c r="J28" s="14"/>
      <c r="L28" s="125">
        <v>0</v>
      </c>
      <c r="M28" s="17" t="e">
        <f>L28/F28-1</f>
        <v>#DIV/0!</v>
      </c>
      <c r="N28" s="17">
        <f>L28/I28-1</f>
        <v>-1</v>
      </c>
      <c r="AF28" s="182"/>
      <c r="AH28" s="15"/>
      <c r="AX28" s="15"/>
      <c r="BD28" s="15"/>
      <c r="BG28" s="15"/>
      <c r="DE28" s="15"/>
      <c r="DH28" s="15"/>
      <c r="DK28" s="15"/>
      <c r="DN28" s="15"/>
      <c r="DQ28" s="15"/>
      <c r="DT28" s="15"/>
      <c r="DW28" s="15"/>
      <c r="DZ28" s="15"/>
      <c r="EC28" s="15"/>
      <c r="EF28" s="15"/>
      <c r="EK28" s="15"/>
      <c r="EM28" s="15"/>
      <c r="EP28" s="15"/>
      <c r="ES28" s="15"/>
    </row>
    <row r="29" spans="1:181" outlineLevel="1">
      <c r="A29" s="1" t="s">
        <v>301</v>
      </c>
      <c r="B29" s="4" t="s">
        <v>46</v>
      </c>
      <c r="C29" s="4" t="s">
        <v>302</v>
      </c>
      <c r="D29" s="43">
        <v>0</v>
      </c>
      <c r="E29" s="34">
        <v>0</v>
      </c>
      <c r="F29" s="43">
        <v>0</v>
      </c>
      <c r="G29" s="34">
        <v>0</v>
      </c>
      <c r="H29" s="46">
        <v>1356.5</v>
      </c>
      <c r="I29" s="36"/>
      <c r="J29" s="14"/>
      <c r="AF29" s="182"/>
      <c r="AH29" s="15"/>
      <c r="AX29" s="15"/>
      <c r="BD29" s="15"/>
      <c r="BG29" s="15"/>
      <c r="DE29" s="15"/>
      <c r="DH29" s="15"/>
      <c r="DK29" s="15"/>
      <c r="DN29" s="15"/>
      <c r="DQ29" s="15"/>
      <c r="DT29" s="15"/>
      <c r="DW29" s="15"/>
      <c r="DZ29" s="15"/>
      <c r="EC29" s="15"/>
      <c r="EF29" s="15"/>
      <c r="EK29" s="15"/>
      <c r="EM29" s="15"/>
      <c r="EP29" s="15"/>
      <c r="ES29" s="15"/>
    </row>
    <row r="30" spans="1:181" ht="15" customHeight="1" outlineLevel="1">
      <c r="A30" s="1" t="s">
        <v>303</v>
      </c>
      <c r="B30" s="4" t="s">
        <v>48</v>
      </c>
      <c r="C30" s="4" t="s">
        <v>304</v>
      </c>
      <c r="D30" s="43">
        <v>0</v>
      </c>
      <c r="E30" s="34">
        <v>0</v>
      </c>
      <c r="F30" s="43">
        <v>0</v>
      </c>
      <c r="G30" s="34">
        <v>0</v>
      </c>
      <c r="H30" s="46">
        <v>3451</v>
      </c>
      <c r="I30" s="36"/>
      <c r="J30" s="14"/>
      <c r="AF30" s="182"/>
      <c r="AH30" s="15"/>
      <c r="AX30" s="15"/>
      <c r="BD30" s="15"/>
      <c r="BG30" s="15"/>
      <c r="DE30" s="15"/>
      <c r="DH30" s="15"/>
      <c r="DK30" s="15"/>
      <c r="DN30" s="15"/>
      <c r="DQ30" s="15"/>
      <c r="DT30" s="15"/>
      <c r="DW30" s="15"/>
      <c r="DZ30" s="15"/>
      <c r="EC30" s="15"/>
      <c r="EF30" s="15"/>
      <c r="EK30" s="15"/>
      <c r="EM30" s="15"/>
      <c r="EP30" s="15"/>
      <c r="ES30" s="15"/>
    </row>
    <row r="31" spans="1:181" ht="15" customHeight="1" thickBot="1">
      <c r="A31" s="54" t="s">
        <v>303</v>
      </c>
      <c r="B31" s="55" t="s">
        <v>316</v>
      </c>
      <c r="C31" s="283" t="s">
        <v>304</v>
      </c>
      <c r="D31" s="57">
        <f>D26+D28</f>
        <v>0</v>
      </c>
      <c r="E31" s="58"/>
      <c r="F31" s="57">
        <f>F26+F28</f>
        <v>0</v>
      </c>
      <c r="G31" s="58"/>
      <c r="H31" s="57"/>
      <c r="I31" s="57">
        <f>I26+I28</f>
        <v>3452</v>
      </c>
      <c r="J31" s="138" t="e">
        <f>I31/$I$332</f>
        <v>#REF!</v>
      </c>
      <c r="K31" s="60"/>
      <c r="L31" s="122">
        <f>L26+L28</f>
        <v>0</v>
      </c>
      <c r="M31" s="61" t="e">
        <f>L31/F31-1</f>
        <v>#DIV/0!</v>
      </c>
      <c r="N31" s="61">
        <f>L31/I31-1</f>
        <v>-1</v>
      </c>
      <c r="O31" s="17">
        <f>L31/$L$332</f>
        <v>0</v>
      </c>
      <c r="P31" s="17"/>
      <c r="Q31" s="122">
        <f>Q26+Q28</f>
        <v>0</v>
      </c>
      <c r="S31" s="122">
        <f>S26+S28</f>
        <v>0</v>
      </c>
      <c r="Y31" s="122">
        <f>Y26+Y28</f>
        <v>0</v>
      </c>
      <c r="Z31" s="122">
        <f>Z26+Z28</f>
        <v>0</v>
      </c>
      <c r="AA31" s="122">
        <f>AA26+AA28</f>
        <v>1900</v>
      </c>
      <c r="AB31" s="122">
        <f>AB26+AB28</f>
        <v>1900</v>
      </c>
      <c r="AE31" s="122">
        <f>AE26+AE28</f>
        <v>1900</v>
      </c>
      <c r="AF31" s="182"/>
      <c r="AH31" s="122">
        <f>AH26+AH28</f>
        <v>1812.85</v>
      </c>
      <c r="AI31" s="17">
        <f t="shared" ref="AI31:AI32" si="93">AH31/AE31</f>
        <v>0.95413157894736833</v>
      </c>
      <c r="AK31" s="122">
        <f>AK26+AK28</f>
        <v>10000</v>
      </c>
      <c r="AL31" s="193" t="e">
        <f>AK31/L31</f>
        <v>#DIV/0!</v>
      </c>
      <c r="AM31" s="17">
        <f>AK31/AE31</f>
        <v>5.2631578947368425</v>
      </c>
      <c r="AN31" s="17">
        <f>AK31/AH31</f>
        <v>5.5161761866674022</v>
      </c>
      <c r="AS31" s="122">
        <f>AS26+AS28</f>
        <v>10000</v>
      </c>
      <c r="AU31" s="122">
        <f>AU26+AU28</f>
        <v>0</v>
      </c>
      <c r="AV31" s="122">
        <f>AV26+AV28</f>
        <v>10000</v>
      </c>
      <c r="AX31" s="122">
        <f>AX26+AX28</f>
        <v>0</v>
      </c>
      <c r="AY31" s="122">
        <f>AY26+AY28</f>
        <v>10000</v>
      </c>
      <c r="BA31" s="122">
        <f>BA26+BA28</f>
        <v>0</v>
      </c>
      <c r="BB31" s="122">
        <f>BB26+BB28</f>
        <v>10000</v>
      </c>
      <c r="BD31" s="122">
        <f>BD26+BD28</f>
        <v>-10000</v>
      </c>
      <c r="BE31" s="122">
        <f>BE26+BE28</f>
        <v>0</v>
      </c>
      <c r="BG31" s="122">
        <f>BG26+BG28</f>
        <v>0</v>
      </c>
      <c r="BH31" s="122">
        <f>BH26+BH28</f>
        <v>0</v>
      </c>
      <c r="BJ31" s="122">
        <f>BJ26+BJ28</f>
        <v>0</v>
      </c>
      <c r="BK31" s="236" t="e">
        <f t="shared" ref="BK31" si="94">BJ31/BH31</f>
        <v>#DIV/0!</v>
      </c>
      <c r="BM31" s="122">
        <f>BM26+BM28</f>
        <v>0</v>
      </c>
      <c r="BN31" s="236" t="e">
        <f t="shared" ref="BN31" si="95">BM31/BJ31</f>
        <v>#DIV/0!</v>
      </c>
      <c r="BO31" s="236" t="e">
        <f t="shared" ref="BO31" si="96">BM31/BH31</f>
        <v>#DIV/0!</v>
      </c>
      <c r="BQ31" s="122">
        <f>BQ26+BQ28</f>
        <v>0</v>
      </c>
      <c r="BR31" s="122">
        <f>BR26+BR28</f>
        <v>0</v>
      </c>
      <c r="BT31" s="122">
        <f>BT26+BT28</f>
        <v>0</v>
      </c>
      <c r="BU31" s="122">
        <f>BU26+BU28</f>
        <v>0</v>
      </c>
      <c r="BW31" s="122">
        <f>BW26+BW28</f>
        <v>0</v>
      </c>
      <c r="BX31" s="122">
        <f>BX26+BX28</f>
        <v>0</v>
      </c>
      <c r="BZ31" s="122">
        <f>BZ26+BZ28</f>
        <v>0</v>
      </c>
      <c r="CA31" s="122">
        <f>CA26+CA28</f>
        <v>0</v>
      </c>
      <c r="CC31" s="122">
        <f>CC26+CC28</f>
        <v>0</v>
      </c>
      <c r="CD31" s="122">
        <f>CD26+CD28</f>
        <v>0</v>
      </c>
      <c r="CF31" s="122">
        <f>CF26+CF28</f>
        <v>0</v>
      </c>
      <c r="CG31" s="122">
        <f>CG26+CG28</f>
        <v>0</v>
      </c>
      <c r="CI31" s="122">
        <f>CI26+CI28</f>
        <v>0</v>
      </c>
      <c r="CJ31" s="122">
        <f>CJ26+CJ28</f>
        <v>0</v>
      </c>
      <c r="CL31" s="319">
        <f>CL26+CL28</f>
        <v>0</v>
      </c>
      <c r="CM31" s="122">
        <f>CM26+CM28</f>
        <v>0</v>
      </c>
      <c r="CO31" s="122">
        <f>CO26+CO28</f>
        <v>0</v>
      </c>
      <c r="CP31" s="122">
        <f>CP26+CP28</f>
        <v>0</v>
      </c>
      <c r="CR31" s="122">
        <f>CR26+CR28</f>
        <v>0</v>
      </c>
      <c r="CS31" s="122">
        <f>CS26+CS28</f>
        <v>0</v>
      </c>
      <c r="CU31" s="122">
        <f>CU26+CU28</f>
        <v>0</v>
      </c>
      <c r="CV31" s="122">
        <f>CV26+CV28</f>
        <v>0</v>
      </c>
      <c r="CX31" s="122">
        <f>CX26+CX28</f>
        <v>0</v>
      </c>
      <c r="CY31" s="122">
        <f>CY26+CY28</f>
        <v>0</v>
      </c>
      <c r="DA31" s="122">
        <f>DA26+DA28</f>
        <v>0</v>
      </c>
      <c r="DC31" s="122">
        <f>DC26+DC28</f>
        <v>0</v>
      </c>
      <c r="DE31" s="122">
        <f>DE26+DE28</f>
        <v>0</v>
      </c>
      <c r="DF31" s="122">
        <f>DF26+DF28</f>
        <v>0</v>
      </c>
      <c r="DH31" s="122">
        <f>DH26+DH28</f>
        <v>0</v>
      </c>
      <c r="DI31" s="122">
        <f>DI26+DI28</f>
        <v>0</v>
      </c>
      <c r="DK31" s="122">
        <f>DK26+DK28</f>
        <v>0</v>
      </c>
      <c r="DL31" s="122">
        <f>DL26+DL28</f>
        <v>0</v>
      </c>
      <c r="DN31" s="122">
        <f>DN26+DN28</f>
        <v>0</v>
      </c>
      <c r="DO31" s="122">
        <f>DO26+DO28</f>
        <v>0</v>
      </c>
      <c r="DQ31" s="122">
        <f>DQ26+DQ28</f>
        <v>0</v>
      </c>
      <c r="DR31" s="122">
        <f>DR26+DR28</f>
        <v>0</v>
      </c>
      <c r="DT31" s="122">
        <f>DT26+DT28</f>
        <v>0</v>
      </c>
      <c r="DU31" s="122">
        <f>DU26+DU28</f>
        <v>0</v>
      </c>
      <c r="DW31" s="122">
        <f>DW26+DW28</f>
        <v>0</v>
      </c>
      <c r="DX31" s="122">
        <f>DX26+DX28</f>
        <v>0</v>
      </c>
      <c r="DZ31" s="122">
        <f>DZ26+DZ28</f>
        <v>0</v>
      </c>
      <c r="EA31" s="122">
        <f>EA26+EA28</f>
        <v>0</v>
      </c>
      <c r="EC31" s="122">
        <f>EC26+EC28</f>
        <v>0</v>
      </c>
      <c r="ED31" s="122">
        <f>ED26+ED28</f>
        <v>0</v>
      </c>
      <c r="EF31" s="122">
        <f>EF26+EF28</f>
        <v>0</v>
      </c>
      <c r="EG31" s="122">
        <f>EG26+EG28</f>
        <v>0</v>
      </c>
      <c r="EI31" s="122">
        <f>EI26+EI28</f>
        <v>0</v>
      </c>
      <c r="EK31" s="122">
        <f>EK26+EK28</f>
        <v>25000</v>
      </c>
      <c r="EL31" s="377" t="e">
        <f>EK31/EI31-1</f>
        <v>#DIV/0!</v>
      </c>
      <c r="EM31" s="122">
        <f>EM26+EM28</f>
        <v>0</v>
      </c>
      <c r="EN31" s="122">
        <f>EN26+EN28</f>
        <v>25000</v>
      </c>
      <c r="EP31" s="122">
        <f>EP26+EP28</f>
        <v>0</v>
      </c>
      <c r="EQ31" s="122">
        <f>EQ26+EQ28</f>
        <v>25000</v>
      </c>
      <c r="ES31" s="122">
        <f>ES26+ES28</f>
        <v>0</v>
      </c>
      <c r="ET31" s="122">
        <f>ET26+ET28</f>
        <v>25000</v>
      </c>
      <c r="EV31" s="122">
        <f>EV26+EV28</f>
        <v>0</v>
      </c>
      <c r="EW31" s="122">
        <f>EW26+EW28</f>
        <v>25000</v>
      </c>
      <c r="EY31" s="122">
        <f>EY26+EY28</f>
        <v>0</v>
      </c>
      <c r="EZ31" s="122">
        <f>EZ26+EZ28</f>
        <v>25000</v>
      </c>
      <c r="FB31" s="122">
        <f>FB26+FB28</f>
        <v>0</v>
      </c>
      <c r="FC31" s="122">
        <f>FC26+FC28</f>
        <v>25000</v>
      </c>
      <c r="FE31" s="122">
        <f>FE26+FE28</f>
        <v>0</v>
      </c>
      <c r="FF31" s="122">
        <f>FF26+FF28</f>
        <v>25000</v>
      </c>
      <c r="FH31" s="122">
        <f>FH26+FH28</f>
        <v>0</v>
      </c>
      <c r="FI31" s="122">
        <f>FI26+FI28</f>
        <v>25000</v>
      </c>
      <c r="FK31" s="122">
        <f>FK26+FK28</f>
        <v>0</v>
      </c>
      <c r="FL31" s="122">
        <f>FL26+FL28</f>
        <v>25000</v>
      </c>
      <c r="FN31" s="122">
        <f>FN26+FN28</f>
        <v>0</v>
      </c>
      <c r="FO31" s="122">
        <f>FO26+FO28</f>
        <v>25000</v>
      </c>
      <c r="FQ31" s="122">
        <v>0</v>
      </c>
      <c r="FR31" s="122">
        <v>25000</v>
      </c>
      <c r="FT31" s="122">
        <f>FT26+FT28</f>
        <v>0</v>
      </c>
      <c r="FV31" s="122">
        <f>FV26+FV28</f>
        <v>25000</v>
      </c>
      <c r="FW31" s="235" t="e">
        <f t="shared" ref="FW31" si="97">FV31/FT31</f>
        <v>#DIV/0!</v>
      </c>
    </row>
    <row r="32" spans="1:181" ht="15.75" outlineLevel="1" thickTop="1">
      <c r="A32" s="1" t="s">
        <v>122</v>
      </c>
      <c r="B32" s="1" t="s">
        <v>123</v>
      </c>
      <c r="C32" s="4" t="s">
        <v>124</v>
      </c>
      <c r="D32" s="43">
        <v>25000</v>
      </c>
      <c r="E32" s="34">
        <v>98.28</v>
      </c>
      <c r="F32" s="43">
        <v>25000</v>
      </c>
      <c r="G32" s="34">
        <v>98.28</v>
      </c>
      <c r="H32" s="46">
        <v>24570</v>
      </c>
      <c r="I32" s="36">
        <v>24570</v>
      </c>
      <c r="J32" s="14"/>
      <c r="K32" t="s">
        <v>332</v>
      </c>
      <c r="L32" s="118">
        <v>51900</v>
      </c>
      <c r="M32" s="17">
        <f>L32/F32-1</f>
        <v>1.0760000000000001</v>
      </c>
      <c r="N32" s="17">
        <f>L32/I32-1</f>
        <v>1.1123321123321124</v>
      </c>
      <c r="Q32" s="118">
        <f>L32</f>
        <v>51900</v>
      </c>
      <c r="R32" s="15">
        <v>25950</v>
      </c>
      <c r="S32" s="118">
        <f>Q32</f>
        <v>51900</v>
      </c>
      <c r="T32" s="157">
        <f>S32-Q32</f>
        <v>0</v>
      </c>
      <c r="U32" s="16">
        <f>S32/Q32-1</f>
        <v>0</v>
      </c>
      <c r="Y32" s="118">
        <v>51900</v>
      </c>
      <c r="AA32" s="118">
        <v>51900</v>
      </c>
      <c r="AB32" s="185">
        <f>AA32-Y32</f>
        <v>0</v>
      </c>
      <c r="AC32" s="187">
        <f t="shared" ref="AC32" si="98">AA32-Y32</f>
        <v>0</v>
      </c>
      <c r="AD32" s="187"/>
      <c r="AE32" s="118">
        <v>51900</v>
      </c>
      <c r="AF32" s="182"/>
      <c r="AH32" s="15">
        <v>51900</v>
      </c>
      <c r="AI32" s="17">
        <f t="shared" si="93"/>
        <v>1</v>
      </c>
      <c r="AK32" s="118">
        <v>53600</v>
      </c>
      <c r="AS32" s="15">
        <f t="shared" ref="AS32" si="99">AR32+AK32</f>
        <v>53600</v>
      </c>
      <c r="AV32" s="15">
        <f>AS32+AU32</f>
        <v>53600</v>
      </c>
      <c r="AX32" s="15"/>
      <c r="AY32" s="15">
        <f>AV32+AX32</f>
        <v>53600</v>
      </c>
      <c r="BB32" s="15">
        <f>AY32+BA32</f>
        <v>53600</v>
      </c>
      <c r="BD32" s="15"/>
      <c r="BE32" s="15">
        <f>BB32+BD32</f>
        <v>53600</v>
      </c>
      <c r="BG32" s="15"/>
      <c r="BH32" s="15">
        <f>BE32+BG32</f>
        <v>53600</v>
      </c>
      <c r="BJ32" s="15">
        <v>53560.800000000003</v>
      </c>
      <c r="BK32" s="235">
        <f t="shared" ref="BK32" si="100">BJ32/BH32</f>
        <v>0.99926865671641796</v>
      </c>
      <c r="BM32" s="290">
        <v>55600</v>
      </c>
      <c r="BN32" s="235">
        <f t="shared" ref="BN32" si="101">BM32/BJ32</f>
        <v>1.0380726202745292</v>
      </c>
      <c r="BO32" s="235">
        <f t="shared" ref="BO32" si="102">BM32/BH32</f>
        <v>1.0373134328358209</v>
      </c>
      <c r="BQ32" s="15"/>
      <c r="BR32" s="15">
        <f>BM32+BQ32</f>
        <v>55600</v>
      </c>
      <c r="BT32" s="15"/>
      <c r="BU32" s="15">
        <f>BR32+BT32</f>
        <v>55600</v>
      </c>
      <c r="BW32" s="15"/>
      <c r="BX32" s="15">
        <f>BU32+BW32</f>
        <v>55600</v>
      </c>
      <c r="BZ32" s="15"/>
      <c r="CA32" s="15">
        <f>BX32+BZ32</f>
        <v>55600</v>
      </c>
      <c r="CC32" s="15"/>
      <c r="CD32" s="15">
        <f>CA32+CC32</f>
        <v>55600</v>
      </c>
      <c r="CF32" s="15"/>
      <c r="CG32" s="15">
        <f>CD32+CF32</f>
        <v>55600</v>
      </c>
      <c r="CI32" s="15"/>
      <c r="CJ32" s="15">
        <f>CG32+CI32</f>
        <v>55600</v>
      </c>
      <c r="CM32" s="15">
        <f>CJ32+CL32</f>
        <v>55600</v>
      </c>
      <c r="CP32" s="15">
        <f>CM32+CO32</f>
        <v>55600</v>
      </c>
      <c r="CS32" s="15">
        <f>CP32+CR32</f>
        <v>55600</v>
      </c>
      <c r="CV32" s="15">
        <f>CS32+CU32</f>
        <v>55600</v>
      </c>
      <c r="CY32" s="15">
        <f>CV32+CX32</f>
        <v>55600</v>
      </c>
      <c r="DA32" s="15">
        <v>55596.1</v>
      </c>
      <c r="DC32" s="15">
        <v>0</v>
      </c>
      <c r="DE32" s="15"/>
      <c r="DF32" s="15">
        <f>DC32+DE32</f>
        <v>0</v>
      </c>
      <c r="DH32" s="15"/>
      <c r="DI32" s="15">
        <f>DF32+DH32</f>
        <v>0</v>
      </c>
      <c r="DK32" s="15"/>
      <c r="DL32" s="15">
        <f>DI32+DK32</f>
        <v>0</v>
      </c>
      <c r="DN32" s="15"/>
      <c r="DO32" s="15">
        <f>DL32+DN32</f>
        <v>0</v>
      </c>
      <c r="DQ32" s="15"/>
      <c r="DR32" s="15">
        <f>DO32+DQ32</f>
        <v>0</v>
      </c>
      <c r="DT32" s="15"/>
      <c r="DU32" s="15">
        <f>DR32+DT32</f>
        <v>0</v>
      </c>
      <c r="DW32" s="15"/>
      <c r="DX32" s="15">
        <f>DU32+DW32</f>
        <v>0</v>
      </c>
      <c r="DZ32" s="15"/>
      <c r="EA32" s="15">
        <f>DX32+DZ32</f>
        <v>0</v>
      </c>
      <c r="EC32" s="15"/>
      <c r="ED32" s="15">
        <f>EA32+EC32</f>
        <v>0</v>
      </c>
      <c r="EF32" s="15"/>
      <c r="EG32" s="15">
        <f>ED32+EF32</f>
        <v>0</v>
      </c>
      <c r="EK32" s="15"/>
      <c r="EM32" s="15"/>
      <c r="EN32" s="15">
        <f>EK32+EM32</f>
        <v>0</v>
      </c>
      <c r="EP32" s="15"/>
      <c r="EQ32" s="15">
        <f>EN32+EP32</f>
        <v>0</v>
      </c>
      <c r="ES32" s="15"/>
      <c r="ET32" s="15">
        <f>EQ32+ES32</f>
        <v>0</v>
      </c>
      <c r="EW32" s="15">
        <f>ET32+EV32</f>
        <v>0</v>
      </c>
      <c r="EZ32" s="15">
        <f>EW32+EY32</f>
        <v>0</v>
      </c>
      <c r="FC32" s="15">
        <f>EZ32+FB32</f>
        <v>0</v>
      </c>
      <c r="FF32" s="15">
        <f>FC32+FE32</f>
        <v>0</v>
      </c>
      <c r="FI32" s="15">
        <f>FF32+FH32</f>
        <v>0</v>
      </c>
      <c r="FL32" s="15">
        <f>FI32+FK32</f>
        <v>0</v>
      </c>
      <c r="FO32" s="15">
        <f>FL32+FN32</f>
        <v>0</v>
      </c>
      <c r="FR32" s="15">
        <v>0</v>
      </c>
    </row>
    <row r="33" spans="1:181" outlineLevel="1">
      <c r="A33" s="1" t="s">
        <v>122</v>
      </c>
      <c r="B33" s="1" t="s">
        <v>581</v>
      </c>
      <c r="C33" s="4" t="s">
        <v>582</v>
      </c>
      <c r="D33" s="43"/>
      <c r="E33" s="34"/>
      <c r="F33" s="43"/>
      <c r="G33" s="34"/>
      <c r="H33" s="46"/>
      <c r="I33" s="36"/>
      <c r="J33" s="14"/>
      <c r="M33" s="17"/>
      <c r="N33" s="17"/>
      <c r="T33" s="157"/>
      <c r="U33" s="16"/>
      <c r="Y33" s="118"/>
      <c r="AB33" s="185"/>
      <c r="AC33" s="187"/>
      <c r="AD33" s="187"/>
      <c r="AF33" s="182"/>
      <c r="AH33" s="15"/>
      <c r="AI33" s="17"/>
      <c r="AS33" s="15"/>
      <c r="AV33" s="15"/>
      <c r="AX33" s="15"/>
      <c r="AY33" s="15"/>
      <c r="BB33" s="15"/>
      <c r="BD33" s="15"/>
      <c r="BE33" s="15"/>
      <c r="BG33" s="15"/>
      <c r="BH33" s="15"/>
      <c r="BK33" s="235"/>
      <c r="BM33" s="290"/>
      <c r="BN33" s="235"/>
      <c r="BO33" s="235"/>
      <c r="BQ33" s="15"/>
      <c r="BR33" s="15"/>
      <c r="BT33" s="15"/>
      <c r="BU33" s="15"/>
      <c r="BW33" s="15"/>
      <c r="BX33" s="15"/>
      <c r="BZ33" s="15"/>
      <c r="CA33" s="15"/>
      <c r="CC33" s="15"/>
      <c r="CD33" s="15"/>
      <c r="CF33" s="15"/>
      <c r="CG33" s="15"/>
      <c r="CI33" s="15"/>
      <c r="CJ33" s="15"/>
      <c r="CM33" s="15"/>
      <c r="CP33" s="15"/>
      <c r="CS33" s="15"/>
      <c r="CV33" s="15"/>
      <c r="CY33" s="15"/>
      <c r="DC33" s="15">
        <v>63991.1</v>
      </c>
      <c r="DE33" s="227">
        <v>-63991</v>
      </c>
      <c r="DF33" s="15">
        <f>DC33+DE33</f>
        <v>9.9999999998544808E-2</v>
      </c>
      <c r="DH33" s="227">
        <v>63991</v>
      </c>
      <c r="DI33" s="15">
        <f>DF33+DH33</f>
        <v>63991.1</v>
      </c>
      <c r="DK33" s="15"/>
      <c r="DL33" s="15">
        <f>DI33+DK33</f>
        <v>63991.1</v>
      </c>
      <c r="DN33" s="15"/>
      <c r="DO33" s="15">
        <f>DL33+DN33</f>
        <v>63991.1</v>
      </c>
      <c r="DQ33" s="15"/>
      <c r="DR33" s="15">
        <f>DO33+DQ33</f>
        <v>63991.1</v>
      </c>
      <c r="DT33" s="15"/>
      <c r="DU33" s="15">
        <f>DR33+DT33</f>
        <v>63991.1</v>
      </c>
      <c r="DW33" s="15"/>
      <c r="DX33" s="15">
        <f>DU33+DW33</f>
        <v>63991.1</v>
      </c>
      <c r="DZ33" s="15"/>
      <c r="EA33" s="15">
        <f>DX33+DZ33</f>
        <v>63991.1</v>
      </c>
      <c r="EC33" s="227">
        <v>1</v>
      </c>
      <c r="ED33" s="15">
        <f>EA33+EC33</f>
        <v>63992.1</v>
      </c>
      <c r="EF33" s="15"/>
      <c r="EG33" s="15">
        <f>ED33+EF33</f>
        <v>63992.1</v>
      </c>
      <c r="EI33" s="15">
        <v>63991.1</v>
      </c>
      <c r="EK33" s="15">
        <v>70838.100000000006</v>
      </c>
      <c r="EM33" s="15"/>
      <c r="EN33" s="15">
        <f>EK33+EM33</f>
        <v>70838.100000000006</v>
      </c>
      <c r="EP33" s="15"/>
      <c r="EQ33" s="15">
        <f>EN33+EP33</f>
        <v>70838.100000000006</v>
      </c>
      <c r="ES33" s="15"/>
      <c r="ET33" s="15">
        <f>EQ33+ES33</f>
        <v>70838.100000000006</v>
      </c>
      <c r="EV33" s="227">
        <v>-6152</v>
      </c>
      <c r="EW33" s="15">
        <f>ET33+EV33</f>
        <v>64686.100000000006</v>
      </c>
      <c r="EZ33" s="15">
        <f>EW33+EY33</f>
        <v>64686.100000000006</v>
      </c>
      <c r="FC33" s="15">
        <f>EZ33+FB33</f>
        <v>64686.100000000006</v>
      </c>
      <c r="FF33" s="15">
        <f>FC33+FE33</f>
        <v>64686.100000000006</v>
      </c>
      <c r="FI33" s="15">
        <f>FF33+FH33</f>
        <v>64686.100000000006</v>
      </c>
      <c r="FL33" s="15">
        <f>FI33+FK33</f>
        <v>64686.100000000006</v>
      </c>
      <c r="FO33" s="15">
        <f>FL33+FN33</f>
        <v>64686.100000000006</v>
      </c>
      <c r="FR33" s="15">
        <v>64686.100000000006</v>
      </c>
      <c r="FT33" s="15">
        <v>64685.3</v>
      </c>
      <c r="FV33" s="15">
        <v>66834.399999999994</v>
      </c>
      <c r="FW33" s="235">
        <f t="shared" ref="FW33" si="103">FV33/FT33</f>
        <v>1.0332239318670546</v>
      </c>
    </row>
    <row r="34" spans="1:181" outlineLevel="1">
      <c r="A34" s="1" t="s">
        <v>122</v>
      </c>
      <c r="B34" s="1" t="s">
        <v>123</v>
      </c>
      <c r="C34" s="4" t="s">
        <v>124</v>
      </c>
      <c r="D34" s="43"/>
      <c r="E34" s="34"/>
      <c r="F34" s="43"/>
      <c r="G34" s="34"/>
      <c r="H34" s="46"/>
      <c r="I34" s="36"/>
      <c r="J34" s="14"/>
      <c r="M34" s="17"/>
      <c r="N34" s="17"/>
      <c r="T34" s="157"/>
      <c r="U34" s="16"/>
      <c r="Y34" s="118"/>
      <c r="AB34" s="185"/>
      <c r="AC34" s="187"/>
      <c r="AD34" s="187"/>
      <c r="AF34" s="182"/>
      <c r="AH34" s="15"/>
      <c r="AI34" s="17"/>
      <c r="AS34" s="15"/>
      <c r="AV34" s="15"/>
      <c r="AX34" s="15"/>
      <c r="AY34" s="15"/>
      <c r="BB34" s="15"/>
      <c r="BD34" s="15"/>
      <c r="BE34" s="15"/>
      <c r="BG34" s="15"/>
      <c r="BH34" s="15"/>
      <c r="BK34" s="235"/>
      <c r="BM34" s="290"/>
      <c r="BN34" s="235"/>
      <c r="BO34" s="235"/>
      <c r="BQ34" s="15"/>
      <c r="BR34" s="15"/>
      <c r="BT34" s="15"/>
      <c r="BU34" s="15"/>
      <c r="BW34" s="15"/>
      <c r="BX34" s="15"/>
      <c r="BZ34" s="15"/>
      <c r="CA34" s="15"/>
      <c r="CC34" s="15"/>
      <c r="CD34" s="15"/>
      <c r="CF34" s="15"/>
      <c r="CG34" s="15"/>
      <c r="CI34" s="15"/>
      <c r="CJ34" s="15"/>
      <c r="CM34" s="15"/>
      <c r="CP34" s="15"/>
      <c r="CS34" s="15"/>
      <c r="CV34" s="15"/>
      <c r="CY34" s="15"/>
      <c r="DE34" s="227">
        <v>63991</v>
      </c>
      <c r="DF34" s="15">
        <f>DC34+DE34</f>
        <v>63991</v>
      </c>
      <c r="DH34" s="227">
        <v>-63991</v>
      </c>
      <c r="DI34" s="15">
        <f>DF34+DH34</f>
        <v>0</v>
      </c>
      <c r="DK34" s="15"/>
      <c r="DL34" s="15">
        <f>DI34+DK34</f>
        <v>0</v>
      </c>
      <c r="DN34" s="15"/>
      <c r="DO34" s="15">
        <f>DL34+DN34</f>
        <v>0</v>
      </c>
      <c r="DQ34" s="15"/>
      <c r="DR34" s="15">
        <f>DO34+DQ34</f>
        <v>0</v>
      </c>
      <c r="DT34" s="15"/>
      <c r="DU34" s="15">
        <f>DR34+DT34</f>
        <v>0</v>
      </c>
      <c r="DW34" s="15"/>
      <c r="DX34" s="15">
        <f>DU34+DW34</f>
        <v>0</v>
      </c>
      <c r="DZ34" s="15"/>
      <c r="EA34" s="15">
        <f>DX34+DZ34</f>
        <v>0</v>
      </c>
      <c r="EC34" s="15"/>
      <c r="ED34" s="15">
        <f>EA34+EC34</f>
        <v>0</v>
      </c>
      <c r="EF34" s="15"/>
      <c r="EG34" s="15">
        <f>ED34+EF34</f>
        <v>0</v>
      </c>
      <c r="EK34" s="15"/>
      <c r="EM34" s="15"/>
      <c r="EN34" s="15">
        <f>EK34+EM34</f>
        <v>0</v>
      </c>
      <c r="EP34" s="15"/>
      <c r="EQ34" s="15">
        <f>EN34+EP34</f>
        <v>0</v>
      </c>
      <c r="ES34" s="15"/>
      <c r="ET34" s="15">
        <f>EQ34+ES34</f>
        <v>0</v>
      </c>
      <c r="EW34" s="15">
        <f>ET34+EV34</f>
        <v>0</v>
      </c>
      <c r="EZ34" s="15">
        <f>EW34+EY34</f>
        <v>0</v>
      </c>
      <c r="FC34" s="15">
        <f>EZ34+FB34</f>
        <v>0</v>
      </c>
      <c r="FF34" s="15">
        <f>FC34+FE34</f>
        <v>0</v>
      </c>
      <c r="FI34" s="15">
        <f>FF34+FH34</f>
        <v>0</v>
      </c>
      <c r="FL34" s="15">
        <f>FI34+FK34</f>
        <v>0</v>
      </c>
      <c r="FO34" s="15">
        <f>FL34+FN34</f>
        <v>0</v>
      </c>
      <c r="FR34" s="15">
        <v>0</v>
      </c>
    </row>
    <row r="35" spans="1:181" outlineLevel="1">
      <c r="A35" s="1" t="s">
        <v>122</v>
      </c>
      <c r="B35" s="4" t="s">
        <v>46</v>
      </c>
      <c r="C35" s="4" t="s">
        <v>125</v>
      </c>
      <c r="D35" s="43">
        <v>25000</v>
      </c>
      <c r="E35" s="34">
        <v>98.28</v>
      </c>
      <c r="F35" s="43">
        <v>25000</v>
      </c>
      <c r="G35" s="34">
        <v>98.28</v>
      </c>
      <c r="H35" s="46">
        <v>24570</v>
      </c>
      <c r="I35" s="36"/>
      <c r="J35" s="14"/>
      <c r="Y35" s="118"/>
      <c r="AF35" s="182"/>
      <c r="AH35" s="15"/>
      <c r="AX35" s="15"/>
      <c r="BD35" s="15"/>
      <c r="BG35" s="15"/>
      <c r="DE35" s="15"/>
      <c r="DH35" s="15"/>
      <c r="DK35" s="15"/>
      <c r="DN35" s="15"/>
      <c r="DQ35" s="15"/>
      <c r="DT35" s="15"/>
      <c r="DW35" s="15"/>
      <c r="DZ35" s="15"/>
      <c r="EC35" s="15"/>
      <c r="EF35" s="15"/>
      <c r="EK35" s="15"/>
      <c r="EM35" s="15"/>
      <c r="EP35" s="15"/>
      <c r="ES35" s="15"/>
    </row>
    <row r="36" spans="1:181" outlineLevel="1">
      <c r="A36" s="1" t="s">
        <v>126</v>
      </c>
      <c r="B36" s="4" t="s">
        <v>48</v>
      </c>
      <c r="C36" s="4" t="s">
        <v>127</v>
      </c>
      <c r="D36" s="43">
        <v>25000</v>
      </c>
      <c r="E36" s="34">
        <v>98.28</v>
      </c>
      <c r="F36" s="43">
        <v>25000</v>
      </c>
      <c r="G36" s="34">
        <v>98.28</v>
      </c>
      <c r="H36" s="46">
        <v>24570</v>
      </c>
      <c r="I36" s="36"/>
      <c r="J36" s="14"/>
      <c r="Y36" s="118"/>
      <c r="AF36" s="182"/>
      <c r="AH36" s="15"/>
      <c r="AX36" s="15"/>
      <c r="BD36" s="15"/>
      <c r="BG36" s="15"/>
      <c r="DE36" s="15"/>
      <c r="DH36" s="15"/>
      <c r="DK36" s="15"/>
      <c r="DN36" s="15"/>
      <c r="DQ36" s="15"/>
      <c r="DT36" s="15"/>
      <c r="DW36" s="15"/>
      <c r="DZ36" s="15"/>
      <c r="EC36" s="15"/>
      <c r="EF36" s="15"/>
      <c r="EK36" s="15"/>
      <c r="EM36" s="15"/>
      <c r="EP36" s="15"/>
      <c r="ES36" s="15"/>
    </row>
    <row r="37" spans="1:181" ht="14.25" customHeight="1" thickBot="1">
      <c r="A37" s="54" t="s">
        <v>126</v>
      </c>
      <c r="B37" s="55" t="s">
        <v>316</v>
      </c>
      <c r="C37" s="56" t="s">
        <v>325</v>
      </c>
      <c r="D37" s="57">
        <f>D32</f>
        <v>25000</v>
      </c>
      <c r="E37" s="58"/>
      <c r="F37" s="57">
        <f>F32</f>
        <v>25000</v>
      </c>
      <c r="G37" s="58"/>
      <c r="H37" s="57"/>
      <c r="I37" s="57">
        <f>I32</f>
        <v>24570</v>
      </c>
      <c r="J37" s="138" t="e">
        <f>I37/$I$332</f>
        <v>#REF!</v>
      </c>
      <c r="K37" s="60"/>
      <c r="L37" s="122">
        <f>L32</f>
        <v>51900</v>
      </c>
      <c r="M37" s="61">
        <f>L37/F37-1</f>
        <v>1.0760000000000001</v>
      </c>
      <c r="N37" s="61">
        <f>L37/I37-1</f>
        <v>1.1123321123321124</v>
      </c>
      <c r="O37" s="17">
        <f>L37/$L$332</f>
        <v>1.2041763564580298E-2</v>
      </c>
      <c r="P37" s="17"/>
      <c r="Q37" s="122">
        <f>Q32</f>
        <v>51900</v>
      </c>
      <c r="R37" s="122">
        <f>R32</f>
        <v>25950</v>
      </c>
      <c r="S37" s="122">
        <f>S32</f>
        <v>51900</v>
      </c>
      <c r="T37" s="122">
        <f>T32</f>
        <v>0</v>
      </c>
      <c r="U37" s="155">
        <f>S37/Q37-1</f>
        <v>0</v>
      </c>
      <c r="Y37" s="122">
        <f>Y32</f>
        <v>51900</v>
      </c>
      <c r="AA37" s="122">
        <f>AA32</f>
        <v>51900</v>
      </c>
      <c r="AB37" s="122">
        <f>AB32</f>
        <v>0</v>
      </c>
      <c r="AE37" s="122">
        <f>AE32</f>
        <v>51900</v>
      </c>
      <c r="AF37" s="182"/>
      <c r="AH37" s="122">
        <f>AH32</f>
        <v>51900</v>
      </c>
      <c r="AI37" s="17">
        <f t="shared" ref="AI37" si="104">AH37/AE37</f>
        <v>1</v>
      </c>
      <c r="AK37" s="122">
        <f>AK32</f>
        <v>53600</v>
      </c>
      <c r="AL37" s="193">
        <f>AK37/L37</f>
        <v>1.0327552986512525</v>
      </c>
      <c r="AM37" s="17">
        <f>AK37/AE37</f>
        <v>1.0327552986512525</v>
      </c>
      <c r="AN37" s="17">
        <f>AK37/AH37</f>
        <v>1.0327552986512525</v>
      </c>
      <c r="AS37" s="122">
        <f>AS32</f>
        <v>53600</v>
      </c>
      <c r="AU37" s="122">
        <f>AU32</f>
        <v>0</v>
      </c>
      <c r="AV37" s="122">
        <f>AV32</f>
        <v>53600</v>
      </c>
      <c r="AX37" s="122">
        <f>AX32</f>
        <v>0</v>
      </c>
      <c r="AY37" s="122">
        <f>AY32</f>
        <v>53600</v>
      </c>
      <c r="BA37" s="122">
        <f>BA32</f>
        <v>0</v>
      </c>
      <c r="BB37" s="122">
        <f>BB32</f>
        <v>53600</v>
      </c>
      <c r="BD37" s="122">
        <f>BD32</f>
        <v>0</v>
      </c>
      <c r="BE37" s="122">
        <f>BE32</f>
        <v>53600</v>
      </c>
      <c r="BG37" s="122">
        <f>BG32</f>
        <v>0</v>
      </c>
      <c r="BH37" s="122">
        <f>BH32</f>
        <v>53600</v>
      </c>
      <c r="BJ37" s="122">
        <f>BJ32</f>
        <v>53560.800000000003</v>
      </c>
      <c r="BK37" s="236">
        <f t="shared" ref="BK37" si="105">BJ37/BH37</f>
        <v>0.99926865671641796</v>
      </c>
      <c r="BM37" s="122">
        <f>BM32</f>
        <v>55600</v>
      </c>
      <c r="BN37" s="236">
        <f t="shared" ref="BN37" si="106">BM37/BJ37</f>
        <v>1.0380726202745292</v>
      </c>
      <c r="BO37" s="236">
        <f t="shared" ref="BO37" si="107">BM37/BH37</f>
        <v>1.0373134328358209</v>
      </c>
      <c r="BQ37" s="122">
        <f>BQ32</f>
        <v>0</v>
      </c>
      <c r="BR37" s="122">
        <f>BR32</f>
        <v>55600</v>
      </c>
      <c r="BT37" s="122">
        <f>BT32</f>
        <v>0</v>
      </c>
      <c r="BU37" s="122">
        <f>BU32</f>
        <v>55600</v>
      </c>
      <c r="BW37" s="122">
        <f>BW32</f>
        <v>0</v>
      </c>
      <c r="BX37" s="122">
        <f>BX32</f>
        <v>55600</v>
      </c>
      <c r="BZ37" s="122">
        <f>BZ32</f>
        <v>0</v>
      </c>
      <c r="CA37" s="122">
        <f>CA32</f>
        <v>55600</v>
      </c>
      <c r="CC37" s="122">
        <f>CC32</f>
        <v>0</v>
      </c>
      <c r="CD37" s="122">
        <f>CD32</f>
        <v>55600</v>
      </c>
      <c r="CF37" s="122">
        <f>CF32</f>
        <v>0</v>
      </c>
      <c r="CG37" s="122">
        <f>CG32</f>
        <v>55600</v>
      </c>
      <c r="CI37" s="122">
        <f>CI32</f>
        <v>0</v>
      </c>
      <c r="CJ37" s="122">
        <f>CJ32</f>
        <v>55600</v>
      </c>
      <c r="CL37" s="319">
        <f>CL32</f>
        <v>0</v>
      </c>
      <c r="CM37" s="122">
        <f>CM32</f>
        <v>55600</v>
      </c>
      <c r="CO37" s="122">
        <f>CO32</f>
        <v>0</v>
      </c>
      <c r="CP37" s="122">
        <f>CP32</f>
        <v>55600</v>
      </c>
      <c r="CR37" s="122">
        <f>CR32</f>
        <v>0</v>
      </c>
      <c r="CS37" s="122">
        <f>CS32</f>
        <v>55600</v>
      </c>
      <c r="CU37" s="122">
        <f>CU32</f>
        <v>0</v>
      </c>
      <c r="CV37" s="122">
        <f>CV32</f>
        <v>55600</v>
      </c>
      <c r="CX37" s="122">
        <f>CX32</f>
        <v>0</v>
      </c>
      <c r="CY37" s="122">
        <f>CY32</f>
        <v>55600</v>
      </c>
      <c r="DA37" s="122">
        <f>DA32</f>
        <v>55596.1</v>
      </c>
      <c r="DC37" s="122">
        <f>DC32+DC34+DC33</f>
        <v>63991.1</v>
      </c>
      <c r="DE37" s="122">
        <f>DE32+DE34+DE33</f>
        <v>0</v>
      </c>
      <c r="DF37" s="122">
        <f>DF32+DF34+DF33</f>
        <v>63991.1</v>
      </c>
      <c r="DH37" s="122">
        <f>DH32+DH34+DH33</f>
        <v>0</v>
      </c>
      <c r="DI37" s="122">
        <f>DI32+DI34+DI33</f>
        <v>63991.1</v>
      </c>
      <c r="DK37" s="122">
        <f>DK32+DK34+DK33</f>
        <v>0</v>
      </c>
      <c r="DL37" s="122">
        <f>DL32+DL34+DL33</f>
        <v>63991.1</v>
      </c>
      <c r="DN37" s="122">
        <f>DN32+DN34+DN33</f>
        <v>0</v>
      </c>
      <c r="DO37" s="122">
        <f>DO32+DO34+DO33</f>
        <v>63991.1</v>
      </c>
      <c r="DQ37" s="122">
        <f>DQ32+DQ34+DQ33</f>
        <v>0</v>
      </c>
      <c r="DR37" s="122">
        <f>DR32+DR34+DR33</f>
        <v>63991.1</v>
      </c>
      <c r="DT37" s="122">
        <f>DT32+DT34+DT33</f>
        <v>0</v>
      </c>
      <c r="DU37" s="122">
        <f>DU32+DU34+DU33</f>
        <v>63991.1</v>
      </c>
      <c r="DW37" s="122">
        <f>DW32+DW34+DW33</f>
        <v>0</v>
      </c>
      <c r="DX37" s="122">
        <f>DX32+DX34+DX33</f>
        <v>63991.1</v>
      </c>
      <c r="DZ37" s="122">
        <f>DZ32+DZ34+DZ33</f>
        <v>0</v>
      </c>
      <c r="EA37" s="122">
        <f>EA32+EA34+EA33</f>
        <v>63991.1</v>
      </c>
      <c r="EC37" s="122">
        <f>EC32+EC34+EC33</f>
        <v>1</v>
      </c>
      <c r="ED37" s="122">
        <f>ED32+ED34+ED33</f>
        <v>63992.1</v>
      </c>
      <c r="EF37" s="122">
        <f>EF32+EF34+EF33</f>
        <v>0</v>
      </c>
      <c r="EG37" s="122">
        <f>EG32+EG34+EG33</f>
        <v>63992.1</v>
      </c>
      <c r="EI37" s="122">
        <f>EI32+EI34+EI33</f>
        <v>63991.1</v>
      </c>
      <c r="EK37" s="122">
        <f>EK32+EK34+EK33</f>
        <v>70838.100000000006</v>
      </c>
      <c r="EL37" s="377">
        <f>EK37/EI37-1</f>
        <v>0.10699925458384074</v>
      </c>
      <c r="EM37" s="122">
        <f>EM32+EM34+EM33</f>
        <v>0</v>
      </c>
      <c r="EN37" s="122">
        <f>EN32+EN34+EN33</f>
        <v>70838.100000000006</v>
      </c>
      <c r="EP37" s="122">
        <f>EP32+EP34+EP33</f>
        <v>0</v>
      </c>
      <c r="EQ37" s="122">
        <f>EQ32+EQ34+EQ33</f>
        <v>70838.100000000006</v>
      </c>
      <c r="ES37" s="122">
        <f>ES32+ES34+ES33</f>
        <v>0</v>
      </c>
      <c r="ET37" s="122">
        <f>ET32+ET34+ET33</f>
        <v>70838.100000000006</v>
      </c>
      <c r="EV37" s="122">
        <f>EV32+EV34+EV33</f>
        <v>-6152</v>
      </c>
      <c r="EW37" s="122">
        <f>EW32+EW34+EW33</f>
        <v>64686.100000000006</v>
      </c>
      <c r="EY37" s="122">
        <f>EY32+EY34+EY33</f>
        <v>0</v>
      </c>
      <c r="EZ37" s="122">
        <f>EZ32+EZ34+EZ33</f>
        <v>64686.100000000006</v>
      </c>
      <c r="FB37" s="122">
        <f>FB32+FB34+FB33</f>
        <v>0</v>
      </c>
      <c r="FC37" s="122">
        <f>FC32+FC34+FC33</f>
        <v>64686.100000000006</v>
      </c>
      <c r="FE37" s="122">
        <f>FE32+FE34+FE33</f>
        <v>0</v>
      </c>
      <c r="FF37" s="122">
        <f>FF32+FF34+FF33</f>
        <v>64686.100000000006</v>
      </c>
      <c r="FH37" s="122">
        <f>FH32+FH34+FH33</f>
        <v>0</v>
      </c>
      <c r="FI37" s="122">
        <f>FI32+FI34+FI33</f>
        <v>64686.100000000006</v>
      </c>
      <c r="FK37" s="122">
        <f>FK32+FK34+FK33</f>
        <v>0</v>
      </c>
      <c r="FL37" s="122">
        <f>FL32+FL34+FL33</f>
        <v>64686.100000000006</v>
      </c>
      <c r="FN37" s="122">
        <f>FN32+FN34+FN33</f>
        <v>0</v>
      </c>
      <c r="FO37" s="122">
        <f>FO32+FO34+FO33</f>
        <v>64686.100000000006</v>
      </c>
      <c r="FQ37" s="122">
        <v>0</v>
      </c>
      <c r="FR37" s="122">
        <v>64686.100000000006</v>
      </c>
      <c r="FT37" s="122">
        <f>FT32+FT34+FT33</f>
        <v>64685.3</v>
      </c>
      <c r="FV37" s="122">
        <f>FV32+FV34+FV33</f>
        <v>66834.399999999994</v>
      </c>
      <c r="FW37" s="235">
        <f t="shared" ref="FW37" si="108">FV37/FT37</f>
        <v>1.0332239318670546</v>
      </c>
    </row>
    <row r="38" spans="1:181" ht="15.75" outlineLevel="1" thickTop="1">
      <c r="A38" s="1" t="s">
        <v>128</v>
      </c>
      <c r="B38" s="1" t="s">
        <v>115</v>
      </c>
      <c r="C38" s="4" t="s">
        <v>116</v>
      </c>
      <c r="D38" s="43">
        <v>2000</v>
      </c>
      <c r="E38" s="34">
        <v>0</v>
      </c>
      <c r="F38" s="43">
        <v>2000</v>
      </c>
      <c r="G38" s="34">
        <v>0</v>
      </c>
      <c r="H38" s="46">
        <v>0</v>
      </c>
      <c r="I38" s="36">
        <v>0</v>
      </c>
      <c r="J38" s="14"/>
      <c r="M38" s="17">
        <f>L38/F38-1</f>
        <v>-1</v>
      </c>
      <c r="N38" s="17" t="e">
        <f>L38/I38-1</f>
        <v>#DIV/0!</v>
      </c>
      <c r="AF38" s="182"/>
      <c r="AH38" s="15"/>
      <c r="AX38" s="15"/>
      <c r="BD38" s="15"/>
      <c r="BG38" s="15"/>
      <c r="DE38" s="15"/>
      <c r="DH38" s="15"/>
      <c r="DK38" s="15"/>
      <c r="DN38" s="15"/>
      <c r="DQ38" s="15"/>
      <c r="DT38" s="15"/>
      <c r="DW38" s="15"/>
      <c r="DZ38" s="15"/>
      <c r="EC38" s="15"/>
      <c r="EF38" s="15"/>
      <c r="EK38" s="15"/>
      <c r="EM38" s="15"/>
      <c r="EP38" s="15"/>
      <c r="ES38" s="15"/>
    </row>
    <row r="39" spans="1:181" outlineLevel="1">
      <c r="A39" s="1" t="s">
        <v>128</v>
      </c>
      <c r="B39" s="1" t="s">
        <v>117</v>
      </c>
      <c r="C39" s="4" t="s">
        <v>118</v>
      </c>
      <c r="D39" s="43"/>
      <c r="E39" s="34"/>
      <c r="F39" s="43"/>
      <c r="G39" s="34"/>
      <c r="H39" s="46"/>
      <c r="I39" s="36"/>
      <c r="J39" s="14"/>
      <c r="M39" s="17"/>
      <c r="N39" s="17"/>
      <c r="AF39" s="182"/>
      <c r="AH39" s="15"/>
      <c r="AX39" s="15"/>
      <c r="BD39" s="15"/>
      <c r="BG39" s="15"/>
      <c r="DE39" s="15"/>
      <c r="DH39" s="15"/>
      <c r="DK39" s="15"/>
      <c r="DN39" s="15"/>
      <c r="DQ39" s="15"/>
      <c r="DT39" s="15"/>
      <c r="DW39" s="15"/>
      <c r="DZ39" s="15"/>
      <c r="EC39" s="15"/>
      <c r="EF39" s="15"/>
      <c r="EK39" s="15"/>
      <c r="EM39" s="15"/>
      <c r="EP39" s="15"/>
      <c r="ES39" s="15"/>
      <c r="FB39" s="227">
        <v>16000</v>
      </c>
      <c r="FC39" s="15">
        <f>EZ39+FB39</f>
        <v>16000</v>
      </c>
      <c r="FF39" s="15">
        <f>FC39+FE39</f>
        <v>16000</v>
      </c>
      <c r="FI39" s="15">
        <f>FF39+FH39</f>
        <v>16000</v>
      </c>
      <c r="FK39" s="227">
        <v>5000</v>
      </c>
      <c r="FL39" s="15">
        <f>FI39+FK39</f>
        <v>21000</v>
      </c>
      <c r="FO39" s="15">
        <f>FL39+FN39</f>
        <v>21000</v>
      </c>
      <c r="FR39" s="15">
        <v>21000</v>
      </c>
      <c r="FT39" s="15">
        <v>14857.32</v>
      </c>
      <c r="FV39" s="15">
        <v>25000</v>
      </c>
      <c r="FW39" s="235">
        <f t="shared" ref="FW39:FW40" si="109">FV39/FT39</f>
        <v>1.6826722450616936</v>
      </c>
    </row>
    <row r="40" spans="1:181" outlineLevel="1">
      <c r="A40" s="1" t="s">
        <v>128</v>
      </c>
      <c r="B40" s="1" t="s">
        <v>129</v>
      </c>
      <c r="C40" s="4" t="s">
        <v>130</v>
      </c>
      <c r="D40" s="43">
        <v>565000</v>
      </c>
      <c r="E40" s="34">
        <v>52.04</v>
      </c>
      <c r="F40" s="43">
        <v>565000</v>
      </c>
      <c r="G40" s="34">
        <v>52.04</v>
      </c>
      <c r="H40" s="46">
        <v>294000</v>
      </c>
      <c r="I40" s="15">
        <f>H40/2*3</f>
        <v>441000</v>
      </c>
      <c r="K40" t="s">
        <v>332</v>
      </c>
      <c r="L40" s="126">
        <v>441000</v>
      </c>
      <c r="M40" s="17">
        <f>L40/F40-1</f>
        <v>-0.21946902654867262</v>
      </c>
      <c r="N40" s="17">
        <f>L40/I40-1</f>
        <v>0</v>
      </c>
      <c r="O40" t="s">
        <v>388</v>
      </c>
      <c r="Q40" s="118">
        <v>571000</v>
      </c>
      <c r="R40" s="15">
        <v>290000</v>
      </c>
      <c r="S40" s="118">
        <v>571000</v>
      </c>
      <c r="T40" s="157">
        <f>S40-Q40</f>
        <v>0</v>
      </c>
      <c r="U40" s="16">
        <f>S40/Q40-1</f>
        <v>0</v>
      </c>
      <c r="Y40" s="118">
        <v>571000</v>
      </c>
      <c r="AA40" s="118">
        <v>571000</v>
      </c>
      <c r="AB40" s="185">
        <f>AA40-Y40</f>
        <v>0</v>
      </c>
      <c r="AC40" s="187">
        <f t="shared" ref="AC40" si="110">AA40-Y40</f>
        <v>0</v>
      </c>
      <c r="AD40" s="187"/>
      <c r="AE40" s="118">
        <v>571000</v>
      </c>
      <c r="AF40" s="182"/>
      <c r="AH40" s="15">
        <v>571000</v>
      </c>
      <c r="AI40" s="17">
        <f t="shared" ref="AI40" si="111">AH40/AE40</f>
        <v>1</v>
      </c>
      <c r="AK40" s="118">
        <v>571000</v>
      </c>
      <c r="AS40" s="15">
        <f t="shared" ref="AS40" si="112">AR40+AK40</f>
        <v>571000</v>
      </c>
      <c r="AV40" s="15">
        <f>AS40+AU40</f>
        <v>571000</v>
      </c>
      <c r="AX40" s="15"/>
      <c r="AY40" s="15">
        <f>AV40+AX40</f>
        <v>571000</v>
      </c>
      <c r="BB40" s="15">
        <f>AY40+BA40</f>
        <v>571000</v>
      </c>
      <c r="BD40" s="15"/>
      <c r="BE40" s="15">
        <f>BB40+BD40</f>
        <v>571000</v>
      </c>
      <c r="BG40" s="15"/>
      <c r="BH40" s="15">
        <f>BE40+BG40</f>
        <v>571000</v>
      </c>
      <c r="BJ40" s="15">
        <v>571000</v>
      </c>
      <c r="BK40" s="235">
        <f t="shared" ref="BK40" si="113">BJ40/BH40</f>
        <v>1</v>
      </c>
      <c r="BM40" s="290">
        <v>571000</v>
      </c>
      <c r="BN40" s="235">
        <f t="shared" ref="BN40" si="114">BM40/BJ40</f>
        <v>1</v>
      </c>
      <c r="BO40" s="235">
        <f t="shared" ref="BO40" si="115">BM40/BH40</f>
        <v>1</v>
      </c>
      <c r="BQ40" s="15"/>
      <c r="BR40" s="15">
        <f>BM40+BQ40</f>
        <v>571000</v>
      </c>
      <c r="BT40" s="15"/>
      <c r="BU40" s="15">
        <f>BR40+BT40</f>
        <v>571000</v>
      </c>
      <c r="BW40" s="15"/>
      <c r="BX40" s="15">
        <f>BU40+BW40</f>
        <v>571000</v>
      </c>
      <c r="BZ40" s="15"/>
      <c r="CA40" s="15">
        <f>BX40+BZ40</f>
        <v>571000</v>
      </c>
      <c r="CC40" s="15"/>
      <c r="CD40" s="15">
        <f>CA40+CC40</f>
        <v>571000</v>
      </c>
      <c r="CF40" s="15"/>
      <c r="CG40" s="15">
        <f>CD40+CF40</f>
        <v>571000</v>
      </c>
      <c r="CI40" s="15"/>
      <c r="CJ40" s="15">
        <f>CG40+CI40</f>
        <v>571000</v>
      </c>
      <c r="CM40" s="15">
        <f>CJ40+CL40</f>
        <v>571000</v>
      </c>
      <c r="CP40" s="15">
        <f>CM40+CO40</f>
        <v>571000</v>
      </c>
      <c r="CS40" s="15">
        <f>CP40+CR40</f>
        <v>571000</v>
      </c>
      <c r="CV40" s="15">
        <f>CS40+CU40</f>
        <v>571000</v>
      </c>
      <c r="CY40" s="15">
        <f>CV40+CX40</f>
        <v>571000</v>
      </c>
      <c r="DA40" s="15">
        <v>571000</v>
      </c>
      <c r="DC40" s="15">
        <v>571000</v>
      </c>
      <c r="DE40" s="15"/>
      <c r="DF40" s="15">
        <f>DC40+DE40</f>
        <v>571000</v>
      </c>
      <c r="DH40" s="15"/>
      <c r="DI40" s="15">
        <f>DF40+DH40</f>
        <v>571000</v>
      </c>
      <c r="DK40" s="15"/>
      <c r="DL40" s="15">
        <f>DI40+DK40</f>
        <v>571000</v>
      </c>
      <c r="DN40" s="15"/>
      <c r="DO40" s="15">
        <f>DL40+DN40</f>
        <v>571000</v>
      </c>
      <c r="DQ40" s="15"/>
      <c r="DR40" s="15">
        <f>DO40+DQ40</f>
        <v>571000</v>
      </c>
      <c r="DT40" s="15"/>
      <c r="DU40" s="15">
        <f>DR40+DT40</f>
        <v>571000</v>
      </c>
      <c r="DW40" s="15"/>
      <c r="DX40" s="15">
        <f>DU40+DW40</f>
        <v>571000</v>
      </c>
      <c r="DZ40" s="15"/>
      <c r="EA40" s="15">
        <f>DX40+DZ40</f>
        <v>571000</v>
      </c>
      <c r="EC40" s="15"/>
      <c r="ED40" s="15">
        <f>EA40+EC40</f>
        <v>571000</v>
      </c>
      <c r="EF40" s="15"/>
      <c r="EG40" s="15">
        <f>ED40+EF40</f>
        <v>571000</v>
      </c>
      <c r="EI40" s="15">
        <v>571000</v>
      </c>
      <c r="EK40" s="15">
        <v>571000</v>
      </c>
      <c r="EM40" s="15"/>
      <c r="EN40" s="15">
        <f>EK40+EM40</f>
        <v>571000</v>
      </c>
      <c r="EP40" s="15"/>
      <c r="EQ40" s="15">
        <f>EN40+EP40</f>
        <v>571000</v>
      </c>
      <c r="ES40" s="15"/>
      <c r="ET40" s="15">
        <f>EQ40+ES40</f>
        <v>571000</v>
      </c>
      <c r="EW40" s="15">
        <f>ET40+EV40</f>
        <v>571000</v>
      </c>
      <c r="EZ40" s="15">
        <f>EW40+EY40</f>
        <v>571000</v>
      </c>
      <c r="FC40" s="15">
        <f>EZ40+FB40</f>
        <v>571000</v>
      </c>
      <c r="FF40" s="15">
        <f>FC40+FE40</f>
        <v>571000</v>
      </c>
      <c r="FI40" s="15">
        <f>FF40+FH40</f>
        <v>571000</v>
      </c>
      <c r="FL40" s="15">
        <f>FI40+FK40</f>
        <v>571000</v>
      </c>
      <c r="FO40" s="15">
        <f>FL40+FN40</f>
        <v>571000</v>
      </c>
      <c r="FR40" s="15">
        <v>571000</v>
      </c>
      <c r="FT40" s="15">
        <v>571000</v>
      </c>
      <c r="FV40" s="227">
        <f>571000/4</f>
        <v>142750</v>
      </c>
      <c r="FW40" s="235">
        <f t="shared" si="109"/>
        <v>0.25</v>
      </c>
      <c r="FY40" s="227" t="s">
        <v>701</v>
      </c>
    </row>
    <row r="41" spans="1:181" outlineLevel="1">
      <c r="A41" s="1" t="s">
        <v>128</v>
      </c>
      <c r="B41" s="4" t="s">
        <v>46</v>
      </c>
      <c r="C41" s="4" t="s">
        <v>131</v>
      </c>
      <c r="D41" s="43">
        <v>567000</v>
      </c>
      <c r="E41" s="34">
        <v>51.85</v>
      </c>
      <c r="F41" s="43">
        <v>567000</v>
      </c>
      <c r="G41" s="34">
        <v>51.85</v>
      </c>
      <c r="H41" s="46">
        <v>294000</v>
      </c>
      <c r="I41" s="36"/>
      <c r="J41" s="14"/>
      <c r="Y41" s="118"/>
      <c r="AF41" s="182"/>
      <c r="AH41" s="15"/>
      <c r="AX41" s="15"/>
      <c r="BD41" s="15"/>
      <c r="BG41" s="15"/>
      <c r="DE41" s="15"/>
      <c r="DH41" s="15"/>
      <c r="DK41" s="15"/>
      <c r="DN41" s="15"/>
      <c r="DQ41" s="15"/>
      <c r="DT41" s="15"/>
      <c r="DW41" s="15"/>
      <c r="DZ41" s="15"/>
      <c r="EC41" s="15"/>
      <c r="EF41" s="15"/>
      <c r="EK41" s="15"/>
      <c r="EM41" s="15"/>
      <c r="EP41" s="15"/>
      <c r="ES41" s="15"/>
    </row>
    <row r="42" spans="1:181" outlineLevel="1">
      <c r="A42" s="1" t="s">
        <v>132</v>
      </c>
      <c r="B42" s="4" t="s">
        <v>48</v>
      </c>
      <c r="C42" s="4" t="s">
        <v>133</v>
      </c>
      <c r="D42" s="43">
        <v>567000</v>
      </c>
      <c r="E42" s="34">
        <v>51.85</v>
      </c>
      <c r="F42" s="43">
        <v>567000</v>
      </c>
      <c r="G42" s="34">
        <v>51.85</v>
      </c>
      <c r="H42" s="46">
        <v>294000</v>
      </c>
      <c r="I42" s="36"/>
      <c r="J42" s="14"/>
      <c r="Y42" s="118"/>
      <c r="AF42" s="182"/>
      <c r="AH42" s="15"/>
      <c r="AX42" s="15"/>
      <c r="BD42" s="15"/>
      <c r="BG42" s="15"/>
      <c r="DE42" s="15"/>
      <c r="DH42" s="15"/>
      <c r="DK42" s="15"/>
      <c r="DN42" s="15"/>
      <c r="DQ42" s="15"/>
      <c r="DT42" s="15"/>
      <c r="DW42" s="15"/>
      <c r="DZ42" s="15"/>
      <c r="EC42" s="15"/>
      <c r="EF42" s="15"/>
      <c r="EK42" s="15"/>
      <c r="EM42" s="15"/>
      <c r="EP42" s="15"/>
      <c r="ES42" s="15"/>
    </row>
    <row r="43" spans="1:181" ht="15" customHeight="1" thickBot="1">
      <c r="A43" s="54" t="s">
        <v>132</v>
      </c>
      <c r="B43" s="55" t="s">
        <v>316</v>
      </c>
      <c r="C43" s="56" t="s">
        <v>133</v>
      </c>
      <c r="D43" s="57">
        <f>D38+D40</f>
        <v>567000</v>
      </c>
      <c r="E43" s="58"/>
      <c r="F43" s="57">
        <f>F38+F40</f>
        <v>567000</v>
      </c>
      <c r="G43" s="58"/>
      <c r="H43" s="57"/>
      <c r="I43" s="57">
        <f>I38+I40</f>
        <v>441000</v>
      </c>
      <c r="J43" s="138" t="e">
        <f>I43/$I$332</f>
        <v>#REF!</v>
      </c>
      <c r="K43" s="60"/>
      <c r="L43" s="122">
        <f>L38+L40</f>
        <v>441000</v>
      </c>
      <c r="M43" s="61">
        <f>L43/F43-1</f>
        <v>-0.22222222222222221</v>
      </c>
      <c r="N43" s="61">
        <f>L43/I43-1</f>
        <v>0</v>
      </c>
      <c r="O43" s="17">
        <f>L43/$L$332</f>
        <v>0.10232018751406381</v>
      </c>
      <c r="P43" s="17"/>
      <c r="Q43" s="122">
        <f>Q40</f>
        <v>571000</v>
      </c>
      <c r="R43" s="122">
        <f>R40</f>
        <v>290000</v>
      </c>
      <c r="S43" s="122">
        <f>S40</f>
        <v>571000</v>
      </c>
      <c r="T43" s="122">
        <f>T40</f>
        <v>0</v>
      </c>
      <c r="U43" s="155">
        <f>S43/Q43-1</f>
        <v>0</v>
      </c>
      <c r="Y43" s="122">
        <f>Y40</f>
        <v>571000</v>
      </c>
      <c r="AA43" s="122">
        <f>AA40</f>
        <v>571000</v>
      </c>
      <c r="AB43" s="122">
        <f>AB40</f>
        <v>0</v>
      </c>
      <c r="AE43" s="122">
        <f>AE40</f>
        <v>571000</v>
      </c>
      <c r="AF43" s="182"/>
      <c r="AH43" s="122">
        <f>AH40</f>
        <v>571000</v>
      </c>
      <c r="AI43" s="17">
        <f t="shared" ref="AI43:AI45" si="116">AH43/AE43</f>
        <v>1</v>
      </c>
      <c r="AK43" s="122">
        <f>AK40</f>
        <v>571000</v>
      </c>
      <c r="AL43" s="193">
        <f>AK43/L43</f>
        <v>1.2947845804988662</v>
      </c>
      <c r="AM43" s="17">
        <f>AK43/AE43</f>
        <v>1</v>
      </c>
      <c r="AN43" s="17">
        <f>AK43/AH43</f>
        <v>1</v>
      </c>
      <c r="AS43" s="122">
        <f>AS40</f>
        <v>571000</v>
      </c>
      <c r="AU43" s="122">
        <f>AU40</f>
        <v>0</v>
      </c>
      <c r="AV43" s="122">
        <f>AV40</f>
        <v>571000</v>
      </c>
      <c r="AX43" s="122">
        <f>AX40</f>
        <v>0</v>
      </c>
      <c r="AY43" s="122">
        <f>AY40</f>
        <v>571000</v>
      </c>
      <c r="BA43" s="122">
        <f>BA40</f>
        <v>0</v>
      </c>
      <c r="BB43" s="122">
        <f>BB40</f>
        <v>571000</v>
      </c>
      <c r="BD43" s="122">
        <f>BD40</f>
        <v>0</v>
      </c>
      <c r="BE43" s="122">
        <f>BE40</f>
        <v>571000</v>
      </c>
      <c r="BG43" s="122">
        <f>BG40</f>
        <v>0</v>
      </c>
      <c r="BH43" s="122">
        <f>BH40</f>
        <v>571000</v>
      </c>
      <c r="BJ43" s="122">
        <f>BJ40</f>
        <v>571000</v>
      </c>
      <c r="BK43" s="236">
        <f t="shared" ref="BK43" si="117">BJ43/BH43</f>
        <v>1</v>
      </c>
      <c r="BM43" s="122">
        <f>BM40</f>
        <v>571000</v>
      </c>
      <c r="BN43" s="236">
        <f t="shared" ref="BN43" si="118">BM43/BJ43</f>
        <v>1</v>
      </c>
      <c r="BO43" s="236">
        <f t="shared" ref="BO43" si="119">BM43/BH43</f>
        <v>1</v>
      </c>
      <c r="BQ43" s="122">
        <f>BQ40</f>
        <v>0</v>
      </c>
      <c r="BR43" s="122">
        <f>BR40</f>
        <v>571000</v>
      </c>
      <c r="BT43" s="122">
        <f>BT40</f>
        <v>0</v>
      </c>
      <c r="BU43" s="122">
        <f>BU40</f>
        <v>571000</v>
      </c>
      <c r="BW43" s="122">
        <f>BW40</f>
        <v>0</v>
      </c>
      <c r="BX43" s="122">
        <f>BX40</f>
        <v>571000</v>
      </c>
      <c r="BZ43" s="122">
        <f>BZ40</f>
        <v>0</v>
      </c>
      <c r="CA43" s="122">
        <f>CA40</f>
        <v>571000</v>
      </c>
      <c r="CC43" s="122">
        <f>CC40</f>
        <v>0</v>
      </c>
      <c r="CD43" s="122">
        <f>CD40</f>
        <v>571000</v>
      </c>
      <c r="CF43" s="122">
        <f>CF40</f>
        <v>0</v>
      </c>
      <c r="CG43" s="122">
        <f>CG40</f>
        <v>571000</v>
      </c>
      <c r="CI43" s="122">
        <f>CI40</f>
        <v>0</v>
      </c>
      <c r="CJ43" s="122">
        <f>CJ40</f>
        <v>571000</v>
      </c>
      <c r="CL43" s="319">
        <f>CL40</f>
        <v>0</v>
      </c>
      <c r="CM43" s="122">
        <f>CM40</f>
        <v>571000</v>
      </c>
      <c r="CO43" s="122">
        <f>CO40</f>
        <v>0</v>
      </c>
      <c r="CP43" s="122">
        <f>CP40</f>
        <v>571000</v>
      </c>
      <c r="CR43" s="122">
        <f>CR40</f>
        <v>0</v>
      </c>
      <c r="CS43" s="122">
        <f>CS40</f>
        <v>571000</v>
      </c>
      <c r="CU43" s="122">
        <f>CU40</f>
        <v>0</v>
      </c>
      <c r="CV43" s="122">
        <f>CV40</f>
        <v>571000</v>
      </c>
      <c r="CX43" s="122">
        <f>CX40</f>
        <v>0</v>
      </c>
      <c r="CY43" s="122">
        <f>CY40</f>
        <v>571000</v>
      </c>
      <c r="DA43" s="122">
        <f>DA40</f>
        <v>571000</v>
      </c>
      <c r="DC43" s="122">
        <f>DC40</f>
        <v>571000</v>
      </c>
      <c r="DE43" s="122">
        <f>DE40</f>
        <v>0</v>
      </c>
      <c r="DF43" s="122">
        <f>DF40</f>
        <v>571000</v>
      </c>
      <c r="DH43" s="122">
        <f>DH40</f>
        <v>0</v>
      </c>
      <c r="DI43" s="122">
        <f>DI40</f>
        <v>571000</v>
      </c>
      <c r="DK43" s="122">
        <f>DK40</f>
        <v>0</v>
      </c>
      <c r="DL43" s="122">
        <f>DL40</f>
        <v>571000</v>
      </c>
      <c r="DN43" s="122">
        <f>DN40</f>
        <v>0</v>
      </c>
      <c r="DO43" s="122">
        <f>DO40</f>
        <v>571000</v>
      </c>
      <c r="DQ43" s="122">
        <f>DQ40</f>
        <v>0</v>
      </c>
      <c r="DR43" s="122">
        <f>DR40</f>
        <v>571000</v>
      </c>
      <c r="DT43" s="122">
        <f>DT40</f>
        <v>0</v>
      </c>
      <c r="DU43" s="122">
        <f>DU40</f>
        <v>571000</v>
      </c>
      <c r="DW43" s="122">
        <f>DW40</f>
        <v>0</v>
      </c>
      <c r="DX43" s="122">
        <f>DX40</f>
        <v>571000</v>
      </c>
      <c r="DZ43" s="122">
        <f>DZ40</f>
        <v>0</v>
      </c>
      <c r="EA43" s="122">
        <f>EA40</f>
        <v>571000</v>
      </c>
      <c r="EC43" s="122">
        <f>EC40</f>
        <v>0</v>
      </c>
      <c r="ED43" s="122">
        <f>ED40</f>
        <v>571000</v>
      </c>
      <c r="EF43" s="122">
        <f>EF40</f>
        <v>0</v>
      </c>
      <c r="EG43" s="122">
        <f>EG40</f>
        <v>571000</v>
      </c>
      <c r="EI43" s="122">
        <f>EI40</f>
        <v>571000</v>
      </c>
      <c r="EK43" s="122">
        <f>EK40</f>
        <v>571000</v>
      </c>
      <c r="EL43" s="377">
        <f>EK43/EI43-1</f>
        <v>0</v>
      </c>
      <c r="EM43" s="122">
        <f>EM40</f>
        <v>0</v>
      </c>
      <c r="EN43" s="122">
        <f>EN40</f>
        <v>571000</v>
      </c>
      <c r="EP43" s="122">
        <f>EP40</f>
        <v>0</v>
      </c>
      <c r="EQ43" s="122">
        <f>EQ40</f>
        <v>571000</v>
      </c>
      <c r="ES43" s="122">
        <f>ES40</f>
        <v>0</v>
      </c>
      <c r="ET43" s="122">
        <f>ET40</f>
        <v>571000</v>
      </c>
      <c r="EV43" s="122">
        <f>EV40</f>
        <v>0</v>
      </c>
      <c r="EW43" s="122">
        <f>EW40</f>
        <v>571000</v>
      </c>
      <c r="EY43" s="122">
        <f>EY40</f>
        <v>0</v>
      </c>
      <c r="EZ43" s="122">
        <f>EZ40</f>
        <v>571000</v>
      </c>
      <c r="FB43" s="122">
        <f>FB40+FB39+FB38</f>
        <v>16000</v>
      </c>
      <c r="FC43" s="122">
        <f>FC40+FC39+FC38</f>
        <v>587000</v>
      </c>
      <c r="FE43" s="122">
        <f>FE40+FE39+FE38</f>
        <v>0</v>
      </c>
      <c r="FF43" s="122">
        <f>FF40+FF39+FF38</f>
        <v>587000</v>
      </c>
      <c r="FH43" s="122">
        <f>FH40+FH39+FH38</f>
        <v>0</v>
      </c>
      <c r="FI43" s="122">
        <f>FI40+FI39+FI38</f>
        <v>587000</v>
      </c>
      <c r="FK43" s="122">
        <f>FK40+FK39+FK38</f>
        <v>5000</v>
      </c>
      <c r="FL43" s="122">
        <f>FL40+FL39+FL38</f>
        <v>592000</v>
      </c>
      <c r="FN43" s="122">
        <f>FN40+FN39+FN38</f>
        <v>0</v>
      </c>
      <c r="FO43" s="122">
        <f>FO40+FO39+FO38</f>
        <v>592000</v>
      </c>
      <c r="FQ43" s="122">
        <v>0</v>
      </c>
      <c r="FR43" s="122">
        <v>592000</v>
      </c>
      <c r="FT43" s="122">
        <f>FT40+FT39+FT38</f>
        <v>585857.31999999995</v>
      </c>
      <c r="FV43" s="122">
        <f>FV40+FV39+FV38</f>
        <v>167750</v>
      </c>
      <c r="FW43" s="235">
        <f t="shared" ref="FW43" si="120">FV43/FT43</f>
        <v>0.28633251522742775</v>
      </c>
    </row>
    <row r="44" spans="1:181" ht="15" customHeight="1" thickTop="1">
      <c r="A44" s="425"/>
      <c r="B44" s="426"/>
      <c r="C44" s="427"/>
      <c r="D44" s="323"/>
      <c r="E44" s="324"/>
      <c r="F44" s="323"/>
      <c r="G44" s="324"/>
      <c r="H44" s="323"/>
      <c r="I44" s="323"/>
      <c r="J44" s="325"/>
      <c r="K44" s="326"/>
      <c r="L44" s="327"/>
      <c r="M44" s="328"/>
      <c r="N44" s="328"/>
      <c r="O44" s="17"/>
      <c r="P44" s="17"/>
      <c r="Q44" s="327"/>
      <c r="R44" s="327"/>
      <c r="S44" s="327"/>
      <c r="T44" s="327"/>
      <c r="U44" s="155"/>
      <c r="Y44" s="327"/>
      <c r="AA44" s="327"/>
      <c r="AB44" s="327"/>
      <c r="AE44" s="327"/>
      <c r="AF44" s="182"/>
      <c r="AH44" s="327"/>
      <c r="AI44" s="17"/>
      <c r="AK44" s="327"/>
      <c r="AL44" s="193"/>
      <c r="AM44" s="17"/>
      <c r="AN44" s="17"/>
      <c r="AS44" s="327"/>
      <c r="AU44" s="327"/>
      <c r="AV44" s="327"/>
      <c r="AX44" s="327"/>
      <c r="AY44" s="327"/>
      <c r="BA44" s="327"/>
      <c r="BB44" s="327"/>
      <c r="BD44" s="327"/>
      <c r="BE44" s="327"/>
      <c r="BG44" s="327"/>
      <c r="BH44" s="327"/>
      <c r="BJ44" s="327"/>
      <c r="BK44" s="329"/>
      <c r="BM44" s="327"/>
      <c r="BN44" s="329"/>
      <c r="BO44" s="329"/>
      <c r="BQ44" s="327"/>
      <c r="BR44" s="327"/>
      <c r="BT44" s="327"/>
      <c r="BU44" s="327"/>
      <c r="BW44" s="327"/>
      <c r="BX44" s="327"/>
      <c r="BZ44" s="327"/>
      <c r="CA44" s="327"/>
      <c r="CC44" s="327"/>
      <c r="CD44" s="327"/>
      <c r="CF44" s="327"/>
      <c r="CG44" s="327"/>
      <c r="CI44" s="327"/>
      <c r="CJ44" s="327"/>
      <c r="CL44" s="121"/>
      <c r="CM44" s="327"/>
      <c r="CO44" s="327"/>
      <c r="CP44" s="327"/>
      <c r="CR44" s="327"/>
      <c r="CS44" s="327"/>
      <c r="CU44" s="327"/>
      <c r="CV44" s="327"/>
      <c r="CX44" s="327"/>
      <c r="CY44" s="327"/>
      <c r="DA44" s="327"/>
      <c r="DC44" s="327"/>
      <c r="DE44" s="327"/>
      <c r="DF44" s="327"/>
      <c r="DH44" s="327"/>
      <c r="DI44" s="327"/>
      <c r="DK44" s="327"/>
      <c r="DL44" s="327"/>
      <c r="DN44" s="327"/>
      <c r="DO44" s="327"/>
      <c r="DQ44" s="327"/>
      <c r="DR44" s="327"/>
      <c r="DT44" s="327"/>
      <c r="DU44" s="327"/>
      <c r="DW44" s="327"/>
      <c r="DX44" s="327"/>
      <c r="DZ44" s="327"/>
      <c r="EA44" s="327"/>
      <c r="EC44" s="327"/>
      <c r="ED44" s="327"/>
      <c r="EF44" s="327"/>
      <c r="EG44" s="327"/>
      <c r="EI44" s="327"/>
      <c r="EK44" s="327"/>
      <c r="EL44" s="377"/>
      <c r="EM44" s="327"/>
      <c r="EN44" s="327"/>
      <c r="EP44" s="327"/>
      <c r="EQ44" s="327"/>
      <c r="ES44" s="327"/>
      <c r="ET44" s="327"/>
      <c r="EV44" s="327"/>
      <c r="EW44" s="327"/>
      <c r="EY44" s="327"/>
      <c r="EZ44" s="327"/>
      <c r="FB44" s="327"/>
      <c r="FC44" s="327"/>
      <c r="FE44" s="327"/>
      <c r="FF44" s="327"/>
      <c r="FH44" s="327"/>
      <c r="FI44" s="327"/>
      <c r="FK44" s="327"/>
      <c r="FL44" s="327"/>
      <c r="FN44" s="327"/>
      <c r="FO44" s="327"/>
      <c r="FQ44" s="327"/>
      <c r="FR44" s="327"/>
      <c r="FT44" s="327"/>
      <c r="FV44" s="327"/>
      <c r="FW44" s="235"/>
    </row>
    <row r="45" spans="1:181" outlineLevel="1">
      <c r="A45" s="1" t="s">
        <v>61</v>
      </c>
      <c r="B45" s="1" t="s">
        <v>134</v>
      </c>
      <c r="C45" s="4" t="s">
        <v>135</v>
      </c>
      <c r="D45" s="43">
        <v>60000</v>
      </c>
      <c r="E45" s="34">
        <v>16</v>
      </c>
      <c r="F45" s="43">
        <v>9600</v>
      </c>
      <c r="G45" s="34">
        <v>100</v>
      </c>
      <c r="H45" s="46">
        <v>9600</v>
      </c>
      <c r="I45" s="36">
        <v>9600</v>
      </c>
      <c r="J45" s="14"/>
      <c r="K45" t="s">
        <v>332</v>
      </c>
      <c r="L45" s="118">
        <v>10000</v>
      </c>
      <c r="M45" s="17">
        <f>L45/F45-1</f>
        <v>4.1666666666666741E-2</v>
      </c>
      <c r="N45" s="17">
        <f>L45/I45-1</f>
        <v>4.1666666666666741E-2</v>
      </c>
      <c r="Q45" s="118">
        <v>10000</v>
      </c>
      <c r="R45" s="15">
        <v>0</v>
      </c>
      <c r="S45" s="118">
        <v>10000</v>
      </c>
      <c r="T45" s="157">
        <f>S45-Q45</f>
        <v>0</v>
      </c>
      <c r="U45" s="16">
        <f>S45/Q45-1</f>
        <v>0</v>
      </c>
      <c r="Y45" s="118">
        <v>10000</v>
      </c>
      <c r="AA45" s="118">
        <v>12000</v>
      </c>
      <c r="AB45" s="185">
        <f>AA45-Y45</f>
        <v>2000</v>
      </c>
      <c r="AC45" s="187">
        <f t="shared" ref="AC45" si="121">AA45-Y45</f>
        <v>2000</v>
      </c>
      <c r="AD45" s="187"/>
      <c r="AE45" s="118">
        <v>12000</v>
      </c>
      <c r="AF45" s="182"/>
      <c r="AH45" s="15">
        <v>0</v>
      </c>
      <c r="AI45" s="17">
        <f t="shared" si="116"/>
        <v>0</v>
      </c>
      <c r="AK45" s="118">
        <v>12000</v>
      </c>
      <c r="AS45" s="15">
        <f t="shared" ref="AS45" si="122">AR45+AK45</f>
        <v>12000</v>
      </c>
      <c r="AV45" s="15">
        <f>AS45+AU45</f>
        <v>12000</v>
      </c>
      <c r="AX45" s="15"/>
      <c r="AY45" s="15">
        <f>AV45+AX45</f>
        <v>12000</v>
      </c>
      <c r="BB45" s="15">
        <f>AY45+BA45</f>
        <v>12000</v>
      </c>
      <c r="BD45" s="15">
        <v>-6000</v>
      </c>
      <c r="BE45" s="15">
        <f>BB45+BD45</f>
        <v>6000</v>
      </c>
      <c r="BG45" s="15"/>
      <c r="BH45" s="15">
        <f>BE45+BG45</f>
        <v>6000</v>
      </c>
      <c r="BJ45" s="15">
        <v>0</v>
      </c>
      <c r="BK45" s="235">
        <f t="shared" ref="BK45" si="123">BJ45/BH45</f>
        <v>0</v>
      </c>
      <c r="BM45" s="15">
        <v>0</v>
      </c>
      <c r="BN45" s="235" t="e">
        <f t="shared" ref="BN45" si="124">BM45/BJ45</f>
        <v>#DIV/0!</v>
      </c>
      <c r="BO45" s="235">
        <f t="shared" ref="BO45" si="125">BM45/BH45</f>
        <v>0</v>
      </c>
      <c r="BQ45" s="15"/>
      <c r="BR45" s="15">
        <f>BM45+BQ45</f>
        <v>0</v>
      </c>
      <c r="BT45" s="15"/>
      <c r="BU45" s="15">
        <f>BR45+BT45</f>
        <v>0</v>
      </c>
      <c r="BW45" s="15"/>
      <c r="BX45" s="15">
        <f>BU45+BW45</f>
        <v>0</v>
      </c>
      <c r="BZ45" s="15"/>
      <c r="CA45" s="15">
        <f>BX45+BZ45</f>
        <v>0</v>
      </c>
      <c r="CC45" s="15"/>
      <c r="CD45" s="15">
        <f>CA45+CC45</f>
        <v>0</v>
      </c>
      <c r="CF45" s="15"/>
      <c r="CG45" s="15">
        <f>CD45+CF45</f>
        <v>0</v>
      </c>
      <c r="CI45" s="15"/>
      <c r="CJ45" s="15">
        <f>CG45+CI45</f>
        <v>0</v>
      </c>
      <c r="CM45" s="15">
        <f>CJ45+CL45</f>
        <v>0</v>
      </c>
      <c r="CP45" s="15">
        <f>CM45+CO45</f>
        <v>0</v>
      </c>
      <c r="CS45" s="15">
        <f>CP45+CR45</f>
        <v>0</v>
      </c>
      <c r="CV45" s="15">
        <f>CS45+CU45</f>
        <v>0</v>
      </c>
      <c r="CY45" s="15">
        <f>CV45+CX45</f>
        <v>0</v>
      </c>
      <c r="DE45" s="15"/>
      <c r="DF45" s="15">
        <f>DC45+DE45</f>
        <v>0</v>
      </c>
      <c r="DH45" s="15"/>
      <c r="DI45" s="15">
        <f>DF45+DH45</f>
        <v>0</v>
      </c>
      <c r="DK45" s="15"/>
      <c r="DL45" s="15">
        <f>DI45+DK45</f>
        <v>0</v>
      </c>
      <c r="DN45" s="15"/>
      <c r="DO45" s="15">
        <f>DL45+DN45</f>
        <v>0</v>
      </c>
      <c r="DQ45" s="15"/>
      <c r="DR45" s="15">
        <f>DO45+DQ45</f>
        <v>0</v>
      </c>
      <c r="DT45" s="15"/>
      <c r="DU45" s="15">
        <f>DR45+DT45</f>
        <v>0</v>
      </c>
      <c r="DW45" s="15"/>
      <c r="DX45" s="15">
        <f>DU45+DW45</f>
        <v>0</v>
      </c>
      <c r="DZ45" s="15"/>
      <c r="EA45" s="15">
        <f>DX45+DZ45</f>
        <v>0</v>
      </c>
      <c r="EC45" s="15"/>
      <c r="ED45" s="15">
        <f>EA45+EC45</f>
        <v>0</v>
      </c>
      <c r="EF45" s="15"/>
      <c r="EG45" s="15">
        <f>ED45+EF45</f>
        <v>0</v>
      </c>
      <c r="EK45" s="15"/>
      <c r="EM45" s="15"/>
      <c r="EN45" s="15">
        <f>EK45+EM45</f>
        <v>0</v>
      </c>
      <c r="EP45" s="15"/>
      <c r="EQ45" s="15">
        <f>EN45+EP45</f>
        <v>0</v>
      </c>
      <c r="ES45" s="15"/>
      <c r="ET45" s="15">
        <f>EQ45+ES45</f>
        <v>0</v>
      </c>
      <c r="EW45" s="15">
        <f>ET45+EV45</f>
        <v>0</v>
      </c>
      <c r="EZ45" s="15">
        <f>EW45+EY45</f>
        <v>0</v>
      </c>
      <c r="FC45" s="15">
        <f>EZ45+FB45</f>
        <v>0</v>
      </c>
      <c r="FF45" s="15">
        <f>FC45+FE45</f>
        <v>0</v>
      </c>
      <c r="FI45" s="15">
        <f>FF45+FH45</f>
        <v>0</v>
      </c>
      <c r="FL45" s="15">
        <f>FI45+FK45</f>
        <v>0</v>
      </c>
      <c r="FO45" s="15">
        <f>FL45+FN45</f>
        <v>0</v>
      </c>
      <c r="FR45" s="15">
        <v>0</v>
      </c>
    </row>
    <row r="46" spans="1:181" outlineLevel="1">
      <c r="A46" s="1" t="s">
        <v>61</v>
      </c>
      <c r="B46" s="1" t="s">
        <v>557</v>
      </c>
      <c r="C46" s="4" t="s">
        <v>558</v>
      </c>
      <c r="D46" s="43"/>
      <c r="E46" s="34"/>
      <c r="F46" s="43"/>
      <c r="G46" s="34"/>
      <c r="H46" s="46"/>
      <c r="I46" s="36"/>
      <c r="J46" s="14"/>
      <c r="M46" s="17"/>
      <c r="N46" s="17"/>
      <c r="T46" s="157"/>
      <c r="U46" s="16"/>
      <c r="Y46" s="118"/>
      <c r="AB46" s="185"/>
      <c r="AC46" s="187"/>
      <c r="AD46" s="187"/>
      <c r="AF46" s="182"/>
      <c r="AH46" s="15"/>
      <c r="AI46" s="17"/>
      <c r="AS46" s="15"/>
      <c r="AV46" s="15"/>
      <c r="AX46" s="15"/>
      <c r="AY46" s="15"/>
      <c r="BB46" s="15"/>
      <c r="BD46" s="15"/>
      <c r="BE46" s="15"/>
      <c r="BG46" s="15"/>
      <c r="BH46" s="15"/>
      <c r="BK46" s="235"/>
      <c r="BM46" s="15"/>
      <c r="BN46" s="235"/>
      <c r="BO46" s="235"/>
      <c r="BQ46" s="15"/>
      <c r="BR46" s="15"/>
      <c r="BT46" s="15"/>
      <c r="BU46" s="15"/>
      <c r="BW46" s="15"/>
      <c r="BX46" s="15"/>
      <c r="BZ46" s="15"/>
      <c r="CA46" s="15"/>
      <c r="CC46" s="15"/>
      <c r="CD46" s="15"/>
      <c r="CF46" s="15"/>
      <c r="CG46" s="15"/>
      <c r="CI46" s="15"/>
      <c r="CJ46" s="15"/>
      <c r="CM46" s="15"/>
      <c r="CP46" s="15"/>
      <c r="CS46" s="15"/>
      <c r="CV46" s="15"/>
      <c r="CY46" s="15"/>
      <c r="DE46" s="15"/>
      <c r="DF46" s="15"/>
      <c r="DH46" s="15"/>
      <c r="DI46" s="15"/>
      <c r="DK46" s="15"/>
      <c r="DL46" s="15"/>
      <c r="DN46" s="15"/>
      <c r="DO46" s="15"/>
      <c r="DQ46" s="15"/>
      <c r="DR46" s="15"/>
      <c r="DT46" s="15"/>
      <c r="DU46" s="15"/>
      <c r="DW46" s="15"/>
      <c r="DX46" s="15"/>
      <c r="DZ46" s="15"/>
      <c r="EA46" s="15"/>
      <c r="EC46" s="15"/>
      <c r="ED46" s="15"/>
      <c r="EF46" s="15"/>
      <c r="EG46" s="15"/>
      <c r="EK46" s="15"/>
      <c r="EM46" s="15"/>
      <c r="EN46" s="15"/>
      <c r="EP46" s="15"/>
      <c r="EQ46" s="15"/>
      <c r="ES46" s="15"/>
      <c r="ET46" s="15"/>
      <c r="EW46" s="15"/>
      <c r="EZ46" s="15"/>
      <c r="FC46" s="15"/>
      <c r="FF46" s="15"/>
      <c r="FI46" s="15"/>
      <c r="FL46" s="15"/>
      <c r="FO46" s="15"/>
      <c r="FR46" s="15"/>
      <c r="FV46" s="424"/>
      <c r="FY46" s="15">
        <v>1000000</v>
      </c>
    </row>
    <row r="47" spans="1:181" outlineLevel="1">
      <c r="A47" s="1" t="s">
        <v>61</v>
      </c>
      <c r="B47" s="2" t="s">
        <v>208</v>
      </c>
      <c r="C47" s="4" t="s">
        <v>327</v>
      </c>
      <c r="D47" s="43"/>
      <c r="E47" s="34"/>
      <c r="F47" s="43"/>
      <c r="G47" s="34"/>
      <c r="H47" s="46"/>
      <c r="I47" s="36"/>
      <c r="J47" s="14"/>
      <c r="M47" s="17"/>
      <c r="N47" s="17"/>
      <c r="T47" s="157"/>
      <c r="U47" s="16"/>
      <c r="Y47" s="118"/>
      <c r="AB47" s="185"/>
      <c r="AC47" s="187"/>
      <c r="AD47" s="187"/>
      <c r="AF47" s="182"/>
      <c r="AH47" s="15"/>
      <c r="AI47" s="17"/>
      <c r="AS47" s="15"/>
      <c r="AV47" s="15"/>
      <c r="AX47" s="15"/>
      <c r="AY47" s="15"/>
      <c r="BB47" s="15"/>
      <c r="BD47" s="15"/>
      <c r="BE47" s="15"/>
      <c r="BG47" s="15"/>
      <c r="BH47" s="15"/>
      <c r="BK47" s="235"/>
      <c r="BM47" s="15"/>
      <c r="BN47" s="235"/>
      <c r="BO47" s="235"/>
      <c r="BQ47" s="15"/>
      <c r="BR47" s="15"/>
      <c r="BT47" s="15"/>
      <c r="BU47" s="15"/>
      <c r="BW47" s="15"/>
      <c r="BX47" s="15"/>
      <c r="BZ47" s="15"/>
      <c r="CA47" s="15"/>
      <c r="CC47" s="15"/>
      <c r="CD47" s="15"/>
      <c r="CF47" s="15"/>
      <c r="CG47" s="15"/>
      <c r="CI47" s="15"/>
      <c r="CJ47" s="15"/>
      <c r="CM47" s="15"/>
      <c r="CP47" s="15"/>
      <c r="CS47" s="15"/>
      <c r="CV47" s="15"/>
      <c r="CY47" s="15"/>
      <c r="DE47" s="15"/>
      <c r="DF47" s="15"/>
      <c r="DH47" s="15"/>
      <c r="DI47" s="15"/>
      <c r="DK47" s="15"/>
      <c r="DL47" s="15"/>
      <c r="DN47" s="15"/>
      <c r="DO47" s="15"/>
      <c r="DQ47" s="15"/>
      <c r="DR47" s="15"/>
      <c r="DT47" s="15"/>
      <c r="DU47" s="15"/>
      <c r="DW47" s="15"/>
      <c r="DX47" s="15"/>
      <c r="DZ47" s="15"/>
      <c r="EA47" s="15"/>
      <c r="EC47" s="15"/>
      <c r="ED47" s="15"/>
      <c r="EF47" s="15"/>
      <c r="EG47" s="15"/>
      <c r="EK47" s="15">
        <f>169400+888140</f>
        <v>1057540</v>
      </c>
      <c r="EM47" s="15"/>
      <c r="EN47" s="15">
        <f>EK47+EM47</f>
        <v>1057540</v>
      </c>
      <c r="EP47" s="15"/>
      <c r="EQ47" s="15">
        <f>EN47+EP47</f>
        <v>1057540</v>
      </c>
      <c r="ES47" s="15"/>
      <c r="ET47" s="15">
        <f>EQ47+ES47</f>
        <v>1057540</v>
      </c>
      <c r="EV47" s="227">
        <v>-44000</v>
      </c>
      <c r="EW47" s="15">
        <f>ET47+EV47</f>
        <v>1013540</v>
      </c>
      <c r="EZ47" s="15">
        <f>EW47+EY47</f>
        <v>1013540</v>
      </c>
      <c r="FC47" s="15">
        <f>EZ47+FB47</f>
        <v>1013540</v>
      </c>
      <c r="FE47" s="227">
        <v>-10000</v>
      </c>
      <c r="FF47" s="15">
        <f>FC47+FE47</f>
        <v>1003540</v>
      </c>
      <c r="FH47" s="227">
        <v>-30000</v>
      </c>
      <c r="FI47" s="15">
        <f>FF47+FH47</f>
        <v>973540</v>
      </c>
      <c r="FK47" s="227">
        <v>70080</v>
      </c>
      <c r="FL47" s="15">
        <f>FI47+FK47</f>
        <v>1043620</v>
      </c>
      <c r="FO47" s="15">
        <f>FL47+FN47</f>
        <v>1043620</v>
      </c>
      <c r="FR47" s="15">
        <v>1043620</v>
      </c>
      <c r="FT47" s="15">
        <v>985908</v>
      </c>
      <c r="FV47" s="424">
        <v>460000</v>
      </c>
      <c r="FW47" s="235">
        <f t="shared" ref="FW47" si="126">FV47/FT47</f>
        <v>0.46657497454123509</v>
      </c>
      <c r="FY47" s="15">
        <v>15500000</v>
      </c>
    </row>
    <row r="48" spans="1:181" outlineLevel="1">
      <c r="A48" s="1" t="s">
        <v>61</v>
      </c>
      <c r="B48" s="4" t="s">
        <v>46</v>
      </c>
      <c r="C48" s="4" t="s">
        <v>136</v>
      </c>
      <c r="D48" s="43">
        <v>60000</v>
      </c>
      <c r="E48" s="34">
        <v>16</v>
      </c>
      <c r="F48" s="43">
        <v>9600</v>
      </c>
      <c r="G48" s="34">
        <v>100</v>
      </c>
      <c r="H48" s="46">
        <v>9600</v>
      </c>
      <c r="I48" s="36"/>
      <c r="J48" s="14"/>
      <c r="Y48" s="118"/>
      <c r="AF48" s="182"/>
      <c r="AH48" s="15"/>
      <c r="AX48" s="15"/>
      <c r="BD48" s="15"/>
      <c r="BG48" s="15"/>
      <c r="DE48" s="15"/>
      <c r="DH48" s="15"/>
      <c r="DK48" s="15"/>
      <c r="DN48" s="15"/>
      <c r="DQ48" s="15"/>
      <c r="DT48" s="15"/>
      <c r="DW48" s="15"/>
      <c r="DZ48" s="15"/>
      <c r="EC48" s="15"/>
      <c r="EF48" s="15"/>
      <c r="EK48" s="15"/>
      <c r="EM48" s="15"/>
      <c r="EP48" s="15"/>
      <c r="ES48" s="15"/>
      <c r="FW48" s="235" t="e">
        <f t="shared" ref="FW48" si="127">FV48/FT48</f>
        <v>#DIV/0!</v>
      </c>
    </row>
    <row r="49" spans="1:179" outlineLevel="1">
      <c r="A49" s="1" t="s">
        <v>137</v>
      </c>
      <c r="B49" s="1" t="s">
        <v>134</v>
      </c>
      <c r="C49" s="4" t="s">
        <v>135</v>
      </c>
      <c r="D49" s="43">
        <v>152700</v>
      </c>
      <c r="E49" s="34">
        <v>0</v>
      </c>
      <c r="F49" s="43">
        <v>152700</v>
      </c>
      <c r="G49" s="34">
        <v>0</v>
      </c>
      <c r="H49" s="46">
        <v>0</v>
      </c>
      <c r="I49" s="36">
        <v>0</v>
      </c>
      <c r="J49" s="14"/>
      <c r="L49" s="118">
        <v>0</v>
      </c>
      <c r="Y49" s="118"/>
      <c r="AF49" s="182"/>
      <c r="AH49" s="15"/>
      <c r="AX49" s="15"/>
      <c r="BD49" s="15"/>
      <c r="BG49" s="15"/>
      <c r="DE49" s="15"/>
      <c r="DH49" s="15"/>
      <c r="DK49" s="15"/>
      <c r="DN49" s="15"/>
      <c r="DQ49" s="15"/>
      <c r="DT49" s="15"/>
      <c r="DW49" s="15"/>
      <c r="DZ49" s="15"/>
      <c r="EC49" s="15"/>
      <c r="EF49" s="15"/>
      <c r="EK49" s="15"/>
      <c r="EM49" s="15"/>
      <c r="EP49" s="15"/>
      <c r="ES49" s="15"/>
    </row>
    <row r="50" spans="1:179" outlineLevel="1">
      <c r="A50" s="1" t="s">
        <v>137</v>
      </c>
      <c r="B50" s="4" t="s">
        <v>46</v>
      </c>
      <c r="C50" s="4" t="s">
        <v>138</v>
      </c>
      <c r="D50" s="43">
        <v>152700</v>
      </c>
      <c r="E50" s="34">
        <v>0</v>
      </c>
      <c r="F50" s="43">
        <v>152700</v>
      </c>
      <c r="G50" s="34">
        <v>0</v>
      </c>
      <c r="H50" s="46">
        <v>0</v>
      </c>
      <c r="I50" s="36"/>
      <c r="J50" s="14"/>
      <c r="Y50" s="118"/>
      <c r="AF50" s="182"/>
      <c r="AH50" s="15"/>
      <c r="AX50" s="15"/>
      <c r="BD50" s="15"/>
      <c r="BG50" s="15"/>
      <c r="DE50" s="15"/>
      <c r="DH50" s="15"/>
      <c r="DK50" s="15"/>
      <c r="DN50" s="15"/>
      <c r="DQ50" s="15"/>
      <c r="DT50" s="15"/>
      <c r="DW50" s="15"/>
      <c r="DZ50" s="15"/>
      <c r="EC50" s="15"/>
      <c r="EF50" s="15"/>
      <c r="EK50" s="15"/>
      <c r="EM50" s="15"/>
      <c r="EP50" s="15"/>
      <c r="ES50" s="15"/>
    </row>
    <row r="51" spans="1:179" outlineLevel="1">
      <c r="A51" s="1" t="s">
        <v>483</v>
      </c>
      <c r="B51" s="4" t="s">
        <v>484</v>
      </c>
      <c r="C51" s="4" t="s">
        <v>485</v>
      </c>
      <c r="D51" s="43"/>
      <c r="E51" s="34"/>
      <c r="F51" s="43"/>
      <c r="G51" s="34"/>
      <c r="H51" s="46"/>
      <c r="I51" s="36"/>
      <c r="J51" s="14"/>
      <c r="Y51" s="118"/>
      <c r="AF51" s="182"/>
      <c r="AH51" s="15"/>
      <c r="AX51" s="15"/>
      <c r="BA51" s="227">
        <v>4000</v>
      </c>
      <c r="BB51" s="15">
        <v>0</v>
      </c>
      <c r="BD51" s="15">
        <v>4000</v>
      </c>
      <c r="BE51" s="15">
        <f>BB51+BD51</f>
        <v>4000</v>
      </c>
      <c r="BG51" s="15"/>
      <c r="BH51" s="15">
        <f>BE51+BG51</f>
        <v>4000</v>
      </c>
      <c r="BJ51" s="15">
        <v>4000</v>
      </c>
      <c r="BK51" s="235">
        <f t="shared" ref="BK51" si="128">BJ51/BH51</f>
        <v>1</v>
      </c>
      <c r="BM51" s="290">
        <v>4000</v>
      </c>
      <c r="BN51" s="235">
        <f t="shared" ref="BN51" si="129">BM51/BJ51</f>
        <v>1</v>
      </c>
      <c r="BO51" s="235">
        <f t="shared" ref="BO51" si="130">BM51/BH51</f>
        <v>1</v>
      </c>
      <c r="BQ51" s="15"/>
      <c r="BR51" s="15">
        <f>BM51+BQ51</f>
        <v>4000</v>
      </c>
      <c r="BT51" s="15"/>
      <c r="BU51" s="15">
        <f>BR51+BT51</f>
        <v>4000</v>
      </c>
      <c r="BW51" s="15"/>
      <c r="BX51" s="15">
        <f>BU51+BW51</f>
        <v>4000</v>
      </c>
      <c r="BZ51" s="15"/>
      <c r="CA51" s="15">
        <f>BX51+BZ51</f>
        <v>4000</v>
      </c>
      <c r="CC51" s="15"/>
      <c r="CD51" s="15">
        <f>CA51+CC51</f>
        <v>4000</v>
      </c>
      <c r="CF51" s="15"/>
      <c r="CG51" s="15">
        <f>CD51+CF51</f>
        <v>4000</v>
      </c>
      <c r="CI51" s="15"/>
      <c r="CJ51" s="15">
        <f>CG51+CI51</f>
        <v>4000</v>
      </c>
      <c r="CM51" s="15">
        <f>CJ51+CL51</f>
        <v>4000</v>
      </c>
      <c r="CP51" s="15">
        <f>CM51+CO51</f>
        <v>4000</v>
      </c>
      <c r="CS51" s="15">
        <f>CP51+CR51</f>
        <v>4000</v>
      </c>
      <c r="CV51" s="15">
        <f>CS51+CU51</f>
        <v>4000</v>
      </c>
      <c r="CY51" s="15">
        <f>CV51+CX51</f>
        <v>4000</v>
      </c>
      <c r="DA51" s="15">
        <v>4000</v>
      </c>
      <c r="DC51" s="15">
        <v>4000</v>
      </c>
      <c r="DE51" s="15"/>
      <c r="DF51" s="15">
        <f>DC51+DE51</f>
        <v>4000</v>
      </c>
      <c r="DH51" s="15"/>
      <c r="DI51" s="15">
        <f>DF51+DH51</f>
        <v>4000</v>
      </c>
      <c r="DK51" s="15"/>
      <c r="DL51" s="15">
        <f>DI51+DK51</f>
        <v>4000</v>
      </c>
      <c r="DN51" s="15"/>
      <c r="DO51" s="15">
        <f>DL51+DN51</f>
        <v>4000</v>
      </c>
      <c r="DQ51" s="15"/>
      <c r="DR51" s="15">
        <f>DO51+DQ51</f>
        <v>4000</v>
      </c>
      <c r="DT51" s="15"/>
      <c r="DU51" s="15">
        <f>DR51+DT51</f>
        <v>4000</v>
      </c>
      <c r="DW51" s="15"/>
      <c r="DX51" s="15">
        <f>DU51+DW51</f>
        <v>4000</v>
      </c>
      <c r="DZ51" s="15"/>
      <c r="EA51" s="15">
        <f>DX51+DZ51</f>
        <v>4000</v>
      </c>
      <c r="EC51" s="15"/>
      <c r="ED51" s="15">
        <f>EA51+EC51</f>
        <v>4000</v>
      </c>
      <c r="EF51" s="15"/>
      <c r="EG51" s="15">
        <f>ED51+EF51</f>
        <v>4000</v>
      </c>
      <c r="EI51" s="15">
        <v>4000</v>
      </c>
      <c r="EK51" s="15">
        <v>4000</v>
      </c>
      <c r="EM51" s="15"/>
      <c r="EN51" s="15">
        <f>EK51+EM51</f>
        <v>4000</v>
      </c>
      <c r="EP51" s="15"/>
      <c r="EQ51" s="15">
        <f>EN51+EP51</f>
        <v>4000</v>
      </c>
      <c r="ES51" s="15"/>
      <c r="ET51" s="15">
        <f>EQ51+ES51</f>
        <v>4000</v>
      </c>
      <c r="EW51" s="15">
        <f>ET51+EV51</f>
        <v>4000</v>
      </c>
      <c r="EZ51" s="15">
        <f>EW51+EY51</f>
        <v>4000</v>
      </c>
      <c r="FC51" s="15">
        <f>EZ51+FB51</f>
        <v>4000</v>
      </c>
      <c r="FF51" s="15">
        <f>FC51+FE51</f>
        <v>4000</v>
      </c>
      <c r="FI51" s="15">
        <f>FF51+FH51</f>
        <v>4000</v>
      </c>
      <c r="FL51" s="15">
        <f>FI51+FK51</f>
        <v>4000</v>
      </c>
      <c r="FO51" s="15">
        <f>FL51+FN51</f>
        <v>4000</v>
      </c>
      <c r="FR51" s="15">
        <v>4000</v>
      </c>
      <c r="FT51" s="15">
        <v>4000</v>
      </c>
      <c r="FV51" s="15">
        <v>4000</v>
      </c>
      <c r="FW51" s="235">
        <f t="shared" ref="FW51" si="131">FV51/FT51</f>
        <v>1</v>
      </c>
    </row>
    <row r="52" spans="1:179" outlineLevel="1">
      <c r="A52" s="1" t="s">
        <v>483</v>
      </c>
      <c r="B52" s="4" t="s">
        <v>46</v>
      </c>
      <c r="C52" s="4" t="s">
        <v>486</v>
      </c>
      <c r="D52" s="43"/>
      <c r="E52" s="34"/>
      <c r="F52" s="43"/>
      <c r="G52" s="34"/>
      <c r="H52" s="46"/>
      <c r="I52" s="36"/>
      <c r="J52" s="14"/>
      <c r="Y52" s="118"/>
      <c r="AF52" s="182"/>
      <c r="AH52" s="15"/>
      <c r="AX52" s="15"/>
      <c r="BD52" s="15"/>
      <c r="BG52" s="15"/>
      <c r="DE52" s="15"/>
      <c r="DH52" s="15"/>
      <c r="DK52" s="15"/>
      <c r="DN52" s="15"/>
      <c r="DQ52" s="15"/>
      <c r="DT52" s="15"/>
      <c r="DW52" s="15"/>
      <c r="DZ52" s="15"/>
      <c r="EC52" s="15"/>
      <c r="EF52" s="15"/>
      <c r="EK52" s="15"/>
      <c r="EM52" s="15"/>
      <c r="EP52" s="15"/>
      <c r="ES52" s="15"/>
    </row>
    <row r="53" spans="1:179" outlineLevel="1">
      <c r="A53" s="1" t="s">
        <v>139</v>
      </c>
      <c r="B53" s="4" t="s">
        <v>48</v>
      </c>
      <c r="C53" s="4" t="s">
        <v>140</v>
      </c>
      <c r="D53" s="43">
        <v>212700</v>
      </c>
      <c r="E53" s="34">
        <v>4.51</v>
      </c>
      <c r="F53" s="43">
        <v>162300</v>
      </c>
      <c r="G53" s="34">
        <v>5.91</v>
      </c>
      <c r="H53" s="46">
        <v>9600</v>
      </c>
      <c r="I53" s="36"/>
      <c r="J53" s="14"/>
      <c r="Y53" s="118"/>
      <c r="AF53" s="182"/>
      <c r="AH53" s="15"/>
      <c r="AX53" s="15"/>
      <c r="BD53" s="15"/>
      <c r="BG53" s="15"/>
      <c r="DE53" s="15"/>
      <c r="DH53" s="15"/>
      <c r="DK53" s="15"/>
      <c r="DN53" s="15"/>
      <c r="DQ53" s="15"/>
      <c r="DT53" s="15"/>
      <c r="DW53" s="15"/>
      <c r="DZ53" s="15"/>
      <c r="EC53" s="15"/>
      <c r="EF53" s="15"/>
      <c r="EK53" s="15"/>
      <c r="EM53" s="15"/>
      <c r="EP53" s="15"/>
      <c r="ES53" s="15"/>
    </row>
    <row r="54" spans="1:179" ht="16.5" customHeight="1" thickBot="1">
      <c r="A54" s="54" t="s">
        <v>139</v>
      </c>
      <c r="B54" s="55" t="s">
        <v>316</v>
      </c>
      <c r="C54" s="56" t="s">
        <v>140</v>
      </c>
      <c r="D54" s="57">
        <f>D45+D49</f>
        <v>212700</v>
      </c>
      <c r="E54" s="58"/>
      <c r="F54" s="57">
        <f>F45+F49</f>
        <v>162300</v>
      </c>
      <c r="G54" s="58"/>
      <c r="H54" s="57"/>
      <c r="I54" s="57">
        <f>I45+I49</f>
        <v>9600</v>
      </c>
      <c r="J54" s="138" t="e">
        <f>I54/$I$332</f>
        <v>#REF!</v>
      </c>
      <c r="K54" s="60"/>
      <c r="L54" s="122">
        <f>L45+L49</f>
        <v>10000</v>
      </c>
      <c r="M54" s="61">
        <f>L54/F54-1</f>
        <v>-0.93838570548367217</v>
      </c>
      <c r="N54" s="61">
        <f>L54/I54-1</f>
        <v>4.1666666666666741E-2</v>
      </c>
      <c r="O54" s="17">
        <f>L54/$L$332</f>
        <v>2.3201856579152789E-3</v>
      </c>
      <c r="P54" s="17"/>
      <c r="Q54" s="122">
        <f>Q45</f>
        <v>10000</v>
      </c>
      <c r="R54" s="122">
        <f>R45</f>
        <v>0</v>
      </c>
      <c r="S54" s="122">
        <f>S45</f>
        <v>10000</v>
      </c>
      <c r="T54" s="122">
        <f>T45</f>
        <v>0</v>
      </c>
      <c r="U54" s="155">
        <f>S54/Q54-1</f>
        <v>0</v>
      </c>
      <c r="Y54" s="122">
        <f>Y45</f>
        <v>10000</v>
      </c>
      <c r="AA54" s="122">
        <f>AA45</f>
        <v>12000</v>
      </c>
      <c r="AB54" s="122">
        <f>AB45</f>
        <v>2000</v>
      </c>
      <c r="AE54" s="122">
        <f>AE45</f>
        <v>12000</v>
      </c>
      <c r="AF54" s="182"/>
      <c r="AH54" s="122">
        <f>AH45</f>
        <v>0</v>
      </c>
      <c r="AI54" s="17">
        <f t="shared" ref="AI54:AI56" si="132">AH54/AE54</f>
        <v>0</v>
      </c>
      <c r="AK54" s="122">
        <f>AK45</f>
        <v>12000</v>
      </c>
      <c r="AL54" s="193">
        <f>AK54/L54</f>
        <v>1.2</v>
      </c>
      <c r="AM54" s="17">
        <f>AK54/AE54</f>
        <v>1</v>
      </c>
      <c r="AN54" s="17" t="e">
        <f>AK54/AH54</f>
        <v>#DIV/0!</v>
      </c>
      <c r="AS54" s="122">
        <f>AS45</f>
        <v>12000</v>
      </c>
      <c r="AU54" s="122">
        <f>AU45</f>
        <v>0</v>
      </c>
      <c r="AV54" s="122">
        <f>AV45</f>
        <v>12000</v>
      </c>
      <c r="AX54" s="122">
        <f>AX45</f>
        <v>0</v>
      </c>
      <c r="AY54" s="122">
        <f>AY45</f>
        <v>12000</v>
      </c>
      <c r="BA54" s="122">
        <f>BA45+BA51</f>
        <v>4000</v>
      </c>
      <c r="BB54" s="122">
        <f>BB45+BB51</f>
        <v>12000</v>
      </c>
      <c r="BD54" s="122">
        <f>BD45+BD51</f>
        <v>-2000</v>
      </c>
      <c r="BE54" s="122">
        <f>BE45+BE51</f>
        <v>10000</v>
      </c>
      <c r="BG54" s="122">
        <f>BG45+BG51</f>
        <v>0</v>
      </c>
      <c r="BH54" s="122">
        <f>BH45+BH51</f>
        <v>10000</v>
      </c>
      <c r="BJ54" s="122">
        <f>BJ45+BJ51</f>
        <v>4000</v>
      </c>
      <c r="BK54" s="236">
        <f t="shared" ref="BK54" si="133">BJ54/BH54</f>
        <v>0.4</v>
      </c>
      <c r="BM54" s="122">
        <f>BM45+BM51</f>
        <v>4000</v>
      </c>
      <c r="BN54" s="236">
        <f t="shared" ref="BN54" si="134">BM54/BJ54</f>
        <v>1</v>
      </c>
      <c r="BO54" s="236">
        <f t="shared" ref="BO54" si="135">BM54/BH54</f>
        <v>0.4</v>
      </c>
      <c r="BQ54" s="122">
        <f>BQ45+BQ51</f>
        <v>0</v>
      </c>
      <c r="BR54" s="122">
        <f>BR45+BR51</f>
        <v>4000</v>
      </c>
      <c r="BT54" s="122">
        <f>BT45+BT51</f>
        <v>0</v>
      </c>
      <c r="BU54" s="122">
        <f>BU45+BU51</f>
        <v>4000</v>
      </c>
      <c r="BW54" s="122">
        <f>BW45+BW51</f>
        <v>0</v>
      </c>
      <c r="BX54" s="122">
        <f>BX45+BX51</f>
        <v>4000</v>
      </c>
      <c r="BZ54" s="122">
        <f>BZ45+BZ51</f>
        <v>0</v>
      </c>
      <c r="CA54" s="122">
        <f>CA45+CA51</f>
        <v>4000</v>
      </c>
      <c r="CC54" s="122">
        <f>CC45+CC51</f>
        <v>0</v>
      </c>
      <c r="CD54" s="122">
        <f>CD45+CD51</f>
        <v>4000</v>
      </c>
      <c r="CF54" s="122">
        <f>CF45+CF51</f>
        <v>0</v>
      </c>
      <c r="CG54" s="122">
        <f>CG45+CG51</f>
        <v>4000</v>
      </c>
      <c r="CI54" s="122">
        <f>CI45+CI51</f>
        <v>0</v>
      </c>
      <c r="CJ54" s="122">
        <f>CJ45+CJ51</f>
        <v>4000</v>
      </c>
      <c r="CL54" s="319">
        <f>CL45+CL51</f>
        <v>0</v>
      </c>
      <c r="CM54" s="122">
        <f>CM45+CM51</f>
        <v>4000</v>
      </c>
      <c r="CO54" s="122">
        <f>CO45+CO51</f>
        <v>0</v>
      </c>
      <c r="CP54" s="122">
        <f>CP45+CP51</f>
        <v>4000</v>
      </c>
      <c r="CR54" s="122">
        <f>CR45+CR51</f>
        <v>0</v>
      </c>
      <c r="CS54" s="122">
        <f>CS45+CS51</f>
        <v>4000</v>
      </c>
      <c r="CU54" s="122">
        <f>CU45+CU51</f>
        <v>0</v>
      </c>
      <c r="CV54" s="122">
        <f>CV45+CV51</f>
        <v>4000</v>
      </c>
      <c r="CX54" s="122">
        <f>CX45+CX51</f>
        <v>0</v>
      </c>
      <c r="CY54" s="402">
        <f>CY45+CY51</f>
        <v>4000</v>
      </c>
      <c r="DA54" s="402">
        <f>DA45+DA51</f>
        <v>4000</v>
      </c>
      <c r="DC54" s="402">
        <f>DC45+DC51</f>
        <v>4000</v>
      </c>
      <c r="DE54" s="122">
        <f>DE45+DE51</f>
        <v>0</v>
      </c>
      <c r="DF54" s="122">
        <f>DF45+DF51</f>
        <v>4000</v>
      </c>
      <c r="DH54" s="122">
        <f>DH45+DH51</f>
        <v>0</v>
      </c>
      <c r="DI54" s="122">
        <f>DI45+DI51</f>
        <v>4000</v>
      </c>
      <c r="DK54" s="122">
        <f>DK45+DK51</f>
        <v>0</v>
      </c>
      <c r="DL54" s="122">
        <f>DL45+DL51</f>
        <v>4000</v>
      </c>
      <c r="DN54" s="122">
        <f>DN45+DN51</f>
        <v>0</v>
      </c>
      <c r="DO54" s="122">
        <f>DO45+DO51</f>
        <v>4000</v>
      </c>
      <c r="DQ54" s="122">
        <f>DQ45+DQ51</f>
        <v>0</v>
      </c>
      <c r="DR54" s="122">
        <f>DR45+DR51</f>
        <v>4000</v>
      </c>
      <c r="DT54" s="122">
        <f>DT45+DT51</f>
        <v>0</v>
      </c>
      <c r="DU54" s="122">
        <f>DU45+DU51</f>
        <v>4000</v>
      </c>
      <c r="DW54" s="122">
        <f>DW45+DW51</f>
        <v>0</v>
      </c>
      <c r="DX54" s="122">
        <f>DX45+DX51</f>
        <v>4000</v>
      </c>
      <c r="DZ54" s="122">
        <f>DZ45+DZ51</f>
        <v>0</v>
      </c>
      <c r="EA54" s="122">
        <f>EA45+EA51</f>
        <v>4000</v>
      </c>
      <c r="EC54" s="122">
        <f>EC45+EC51</f>
        <v>0</v>
      </c>
      <c r="ED54" s="122">
        <f>ED45+ED51</f>
        <v>4000</v>
      </c>
      <c r="EF54" s="402">
        <f>EF45+EF51</f>
        <v>0</v>
      </c>
      <c r="EG54" s="402">
        <f>EG45+EG51</f>
        <v>4000</v>
      </c>
      <c r="EI54" s="402">
        <f>EI45+EI51</f>
        <v>4000</v>
      </c>
      <c r="EK54" s="122">
        <f>EK45+EK51</f>
        <v>4000</v>
      </c>
      <c r="EL54" s="377">
        <f>EK54/EI54-1</f>
        <v>0</v>
      </c>
      <c r="EM54" s="122">
        <f>EM45+EM51</f>
        <v>0</v>
      </c>
      <c r="EN54" s="122">
        <f>EN45+EN51</f>
        <v>4000</v>
      </c>
      <c r="EP54" s="122">
        <f>EP45+EP51</f>
        <v>0</v>
      </c>
      <c r="EQ54" s="122">
        <f>EQ45+EQ51</f>
        <v>4000</v>
      </c>
      <c r="ES54" s="122">
        <f>ES45+ES51</f>
        <v>0</v>
      </c>
      <c r="ET54" s="122">
        <f>ET45+ET51</f>
        <v>4000</v>
      </c>
      <c r="EV54" s="122">
        <f>EV45+EV51</f>
        <v>0</v>
      </c>
      <c r="EW54" s="122">
        <f>EW45+EW51</f>
        <v>4000</v>
      </c>
      <c r="EY54" s="122">
        <f>EY45+EY51</f>
        <v>0</v>
      </c>
      <c r="EZ54" s="122">
        <f>EZ45+EZ51</f>
        <v>4000</v>
      </c>
      <c r="FB54" s="122">
        <f>FB45+FB51</f>
        <v>0</v>
      </c>
      <c r="FC54" s="122">
        <f>FC45+FC51</f>
        <v>4000</v>
      </c>
      <c r="FE54" s="122">
        <f>FE45+FE51</f>
        <v>0</v>
      </c>
      <c r="FF54" s="122">
        <f>FF45+FF51</f>
        <v>4000</v>
      </c>
      <c r="FH54" s="122">
        <f>FH45+FH51</f>
        <v>0</v>
      </c>
      <c r="FI54" s="122">
        <f>FI45+FI51</f>
        <v>4000</v>
      </c>
      <c r="FK54" s="122">
        <f>FK45+FK51</f>
        <v>0</v>
      </c>
      <c r="FL54" s="122">
        <f>FL45+FL51</f>
        <v>4000</v>
      </c>
      <c r="FN54" s="122">
        <f>FN45+FN51</f>
        <v>0</v>
      </c>
      <c r="FO54" s="122">
        <f>FO45+FO51</f>
        <v>4000</v>
      </c>
      <c r="FQ54" s="122">
        <v>0</v>
      </c>
      <c r="FR54" s="122">
        <v>4000</v>
      </c>
      <c r="FT54" s="402">
        <f>FT45+FT51+FT46+FT49</f>
        <v>4000</v>
      </c>
      <c r="FV54" s="402">
        <f>FV45+FV51+FV46+FV49</f>
        <v>4000</v>
      </c>
      <c r="FW54" s="235">
        <f t="shared" ref="FW54:FW56" si="136">FV54/FT54</f>
        <v>1</v>
      </c>
    </row>
    <row r="55" spans="1:179" ht="16.5" customHeight="1" thickTop="1" thickBot="1">
      <c r="A55" s="75" t="s">
        <v>139</v>
      </c>
      <c r="B55" s="76" t="s">
        <v>277</v>
      </c>
      <c r="C55" s="285" t="s">
        <v>140</v>
      </c>
      <c r="D55" s="323"/>
      <c r="E55" s="324"/>
      <c r="F55" s="323"/>
      <c r="G55" s="324"/>
      <c r="H55" s="323"/>
      <c r="I55" s="323"/>
      <c r="J55" s="325"/>
      <c r="K55" s="326"/>
      <c r="L55" s="327"/>
      <c r="M55" s="328"/>
      <c r="N55" s="328"/>
      <c r="O55" s="17"/>
      <c r="P55" s="17"/>
      <c r="Q55" s="327"/>
      <c r="R55" s="327"/>
      <c r="S55" s="327"/>
      <c r="T55" s="327"/>
      <c r="U55" s="155"/>
      <c r="Y55" s="327"/>
      <c r="AA55" s="327"/>
      <c r="AB55" s="327"/>
      <c r="AE55" s="327"/>
      <c r="AF55" s="182"/>
      <c r="AH55" s="327"/>
      <c r="AI55" s="17"/>
      <c r="AK55" s="327"/>
      <c r="AL55" s="193"/>
      <c r="AM55" s="17"/>
      <c r="AN55" s="17"/>
      <c r="AS55" s="327"/>
      <c r="AU55" s="327"/>
      <c r="AV55" s="327"/>
      <c r="AX55" s="327"/>
      <c r="AY55" s="327"/>
      <c r="BA55" s="327"/>
      <c r="BB55" s="327"/>
      <c r="BD55" s="327"/>
      <c r="BE55" s="327"/>
      <c r="BG55" s="327"/>
      <c r="BH55" s="327"/>
      <c r="BJ55" s="327"/>
      <c r="BK55" s="329"/>
      <c r="BM55" s="327"/>
      <c r="BN55" s="329"/>
      <c r="BO55" s="329"/>
      <c r="BQ55" s="327"/>
      <c r="BR55" s="327"/>
      <c r="BT55" s="327"/>
      <c r="BU55" s="327"/>
      <c r="BW55" s="327"/>
      <c r="BX55" s="327"/>
      <c r="BZ55" s="327"/>
      <c r="CA55" s="327"/>
      <c r="CC55" s="327"/>
      <c r="CD55" s="327"/>
      <c r="CF55" s="327"/>
      <c r="CG55" s="327"/>
      <c r="CI55" s="327"/>
      <c r="CJ55" s="327"/>
      <c r="CL55" s="121"/>
      <c r="CM55" s="327"/>
      <c r="CO55" s="327"/>
      <c r="CP55" s="327"/>
      <c r="CR55" s="327"/>
      <c r="CS55" s="327"/>
      <c r="CU55" s="327"/>
      <c r="CV55" s="327"/>
      <c r="CX55" s="327"/>
      <c r="CY55" s="124"/>
      <c r="DA55" s="124"/>
      <c r="DC55" s="124"/>
      <c r="DE55" s="327"/>
      <c r="DF55" s="327"/>
      <c r="DH55" s="327"/>
      <c r="DI55" s="327"/>
      <c r="DK55" s="327"/>
      <c r="DL55" s="327"/>
      <c r="DN55" s="327"/>
      <c r="DO55" s="327"/>
      <c r="DQ55" s="327"/>
      <c r="DR55" s="327"/>
      <c r="DT55" s="327"/>
      <c r="DU55" s="327"/>
      <c r="DW55" s="327"/>
      <c r="DX55" s="327"/>
      <c r="DZ55" s="327"/>
      <c r="EA55" s="327"/>
      <c r="EC55" s="327"/>
      <c r="ED55" s="327"/>
      <c r="EF55" s="124"/>
      <c r="EG55" s="124"/>
      <c r="EI55" s="331">
        <f>EI47</f>
        <v>0</v>
      </c>
      <c r="EK55" s="331">
        <f>EK47</f>
        <v>1057540</v>
      </c>
      <c r="EL55" s="377"/>
      <c r="EM55" s="331">
        <f>EM47</f>
        <v>0</v>
      </c>
      <c r="EN55" s="331">
        <f>EN47</f>
        <v>1057540</v>
      </c>
      <c r="EP55" s="331">
        <f>EP47</f>
        <v>0</v>
      </c>
      <c r="EQ55" s="331">
        <f>EQ47</f>
        <v>1057540</v>
      </c>
      <c r="ES55" s="331">
        <f>ES47</f>
        <v>0</v>
      </c>
      <c r="ET55" s="331">
        <f>ET47</f>
        <v>1057540</v>
      </c>
      <c r="EV55" s="331">
        <f>EV47</f>
        <v>-44000</v>
      </c>
      <c r="EW55" s="331">
        <f>EW47</f>
        <v>1013540</v>
      </c>
      <c r="EY55" s="331">
        <f>EY47</f>
        <v>0</v>
      </c>
      <c r="EZ55" s="331">
        <f>EZ47</f>
        <v>1013540</v>
      </c>
      <c r="FB55" s="331">
        <f>FB47</f>
        <v>0</v>
      </c>
      <c r="FC55" s="331">
        <f>FC47</f>
        <v>1013540</v>
      </c>
      <c r="FE55" s="331">
        <f>FE47</f>
        <v>-10000</v>
      </c>
      <c r="FF55" s="331">
        <f>FF47</f>
        <v>1003540</v>
      </c>
      <c r="FH55" s="331">
        <f>FH47</f>
        <v>-30000</v>
      </c>
      <c r="FI55" s="331">
        <f>FI47</f>
        <v>973540</v>
      </c>
      <c r="FK55" s="331">
        <f>FK47</f>
        <v>70080</v>
      </c>
      <c r="FL55" s="331">
        <f>FL47</f>
        <v>1043620</v>
      </c>
      <c r="FN55" s="331">
        <f>FN47</f>
        <v>0</v>
      </c>
      <c r="FO55" s="331">
        <f>FO47</f>
        <v>1043620</v>
      </c>
      <c r="FQ55" s="331">
        <v>0</v>
      </c>
      <c r="FR55" s="331">
        <v>1043620</v>
      </c>
      <c r="FT55" s="331">
        <f>FT47</f>
        <v>985908</v>
      </c>
      <c r="FV55" s="331">
        <f>FV47</f>
        <v>460000</v>
      </c>
      <c r="FW55" s="235">
        <f t="shared" si="136"/>
        <v>0.46657497454123509</v>
      </c>
    </row>
    <row r="56" spans="1:179" ht="15.75" outlineLevel="1" thickTop="1">
      <c r="A56" s="1" t="s">
        <v>141</v>
      </c>
      <c r="B56" s="1" t="s">
        <v>142</v>
      </c>
      <c r="C56" s="4" t="s">
        <v>143</v>
      </c>
      <c r="D56" s="43">
        <v>2000</v>
      </c>
      <c r="E56" s="34">
        <v>100</v>
      </c>
      <c r="F56" s="43">
        <v>2000</v>
      </c>
      <c r="G56" s="34">
        <v>100</v>
      </c>
      <c r="H56" s="46">
        <v>2000</v>
      </c>
      <c r="I56" s="49">
        <v>2000</v>
      </c>
      <c r="K56" t="s">
        <v>332</v>
      </c>
      <c r="L56" s="118">
        <v>2000</v>
      </c>
      <c r="M56" s="17">
        <f t="shared" ref="M56:M64" si="137">L56/F56-1</f>
        <v>0</v>
      </c>
      <c r="N56" s="17">
        <f t="shared" ref="N56:N64" si="138">L56/I56-1</f>
        <v>0</v>
      </c>
      <c r="Q56" s="118">
        <v>2140</v>
      </c>
      <c r="R56" s="15">
        <v>2140</v>
      </c>
      <c r="S56" s="118">
        <v>2140</v>
      </c>
      <c r="T56" s="157">
        <f>S56-Q56</f>
        <v>0</v>
      </c>
      <c r="U56" s="16">
        <f>S56/Q56-1</f>
        <v>0</v>
      </c>
      <c r="V56" s="140">
        <v>2140</v>
      </c>
      <c r="W56">
        <v>140</v>
      </c>
      <c r="Y56" s="118">
        <v>2140</v>
      </c>
      <c r="AA56" s="118">
        <v>2140</v>
      </c>
      <c r="AB56" s="185">
        <f>AA56-Y56</f>
        <v>0</v>
      </c>
      <c r="AC56" s="187">
        <f t="shared" ref="AC56" si="139">AA56-Y56</f>
        <v>0</v>
      </c>
      <c r="AD56" s="187"/>
      <c r="AE56" s="118">
        <v>2140</v>
      </c>
      <c r="AF56" s="182"/>
      <c r="AH56" s="15">
        <v>2140</v>
      </c>
      <c r="AI56" s="17">
        <f t="shared" si="132"/>
        <v>1</v>
      </c>
      <c r="AK56" s="118">
        <v>2500</v>
      </c>
      <c r="AS56" s="15">
        <f t="shared" ref="AS56" si="140">AR56+AK56</f>
        <v>2500</v>
      </c>
      <c r="AV56" s="15">
        <f>AS56+AU56</f>
        <v>2500</v>
      </c>
      <c r="AX56" s="15"/>
      <c r="AY56" s="15">
        <f>AV56+AX56</f>
        <v>2500</v>
      </c>
      <c r="BB56" s="15">
        <f>AY56+BA56</f>
        <v>2500</v>
      </c>
      <c r="BD56" s="15">
        <v>-300</v>
      </c>
      <c r="BE56" s="15">
        <f>BB56+BD56</f>
        <v>2200</v>
      </c>
      <c r="BG56" s="15"/>
      <c r="BH56" s="15">
        <f>BE56+BG56</f>
        <v>2200</v>
      </c>
      <c r="BJ56" s="15">
        <v>2140</v>
      </c>
      <c r="BK56" s="235">
        <f t="shared" ref="BK56" si="141">BJ56/BH56</f>
        <v>0.97272727272727277</v>
      </c>
      <c r="BM56" s="15">
        <v>2200</v>
      </c>
      <c r="BN56" s="235">
        <f t="shared" ref="BN56" si="142">BM56/BJ56</f>
        <v>1.02803738317757</v>
      </c>
      <c r="BO56" s="235">
        <f t="shared" ref="BO56" si="143">BM56/BH56</f>
        <v>1</v>
      </c>
      <c r="BQ56" s="15"/>
      <c r="BR56" s="15">
        <f>BM56+BQ56</f>
        <v>2200</v>
      </c>
      <c r="BT56" s="15"/>
      <c r="BU56" s="15">
        <f>BR56+BT56</f>
        <v>2200</v>
      </c>
      <c r="BW56" s="15"/>
      <c r="BX56" s="15">
        <f>BU56+BW56</f>
        <v>2200</v>
      </c>
      <c r="BZ56" s="15"/>
      <c r="CA56" s="15">
        <f>BX56+BZ56</f>
        <v>2200</v>
      </c>
      <c r="CC56" s="15"/>
      <c r="CD56" s="15">
        <f>CA56+CC56</f>
        <v>2200</v>
      </c>
      <c r="CF56" s="15"/>
      <c r="CG56" s="15">
        <f>CD56+CF56</f>
        <v>2200</v>
      </c>
      <c r="CI56" s="15"/>
      <c r="CJ56" s="15">
        <f>CG56+CI56</f>
        <v>2200</v>
      </c>
      <c r="CM56" s="15">
        <f>CJ56+CL56</f>
        <v>2200</v>
      </c>
      <c r="CP56" s="15">
        <f>CM56+CO56</f>
        <v>2200</v>
      </c>
      <c r="CS56" s="15">
        <f>CP56+CR56</f>
        <v>2200</v>
      </c>
      <c r="CU56" s="227">
        <v>-2200</v>
      </c>
      <c r="CV56" s="15">
        <f>CS56+CU56</f>
        <v>0</v>
      </c>
      <c r="CX56" s="227"/>
      <c r="CY56" s="15">
        <f>CV56+CX56</f>
        <v>0</v>
      </c>
      <c r="DA56" s="15">
        <v>0</v>
      </c>
      <c r="DC56" s="15">
        <v>5000</v>
      </c>
      <c r="DE56" s="15"/>
      <c r="DF56" s="15">
        <f>DC56+DE56</f>
        <v>5000</v>
      </c>
      <c r="DH56" s="15"/>
      <c r="DI56" s="15">
        <f>DF56+DH56</f>
        <v>5000</v>
      </c>
      <c r="DK56" s="15"/>
      <c r="DL56" s="15">
        <f>DI56+DK56</f>
        <v>5000</v>
      </c>
      <c r="DN56" s="15"/>
      <c r="DO56" s="15">
        <f>DL56+DN56</f>
        <v>5000</v>
      </c>
      <c r="DQ56" s="15"/>
      <c r="DR56" s="15">
        <f>DO56+DQ56</f>
        <v>5000</v>
      </c>
      <c r="DT56" s="15"/>
      <c r="DU56" s="15">
        <f>DR56+DT56</f>
        <v>5000</v>
      </c>
      <c r="DW56" s="15"/>
      <c r="DX56" s="15">
        <f>DU56+DW56</f>
        <v>5000</v>
      </c>
      <c r="DZ56" s="15"/>
      <c r="EA56" s="15">
        <f>DX56+DZ56</f>
        <v>5000</v>
      </c>
      <c r="EC56" s="15"/>
      <c r="ED56" s="15">
        <f>EA56+EC56</f>
        <v>5000</v>
      </c>
      <c r="EF56" s="227">
        <v>-5000</v>
      </c>
      <c r="EG56" s="15">
        <f>ED56+EF56</f>
        <v>0</v>
      </c>
      <c r="EI56" s="15">
        <v>0</v>
      </c>
      <c r="EK56" s="15">
        <v>3000</v>
      </c>
      <c r="EM56" s="15"/>
      <c r="EN56" s="15">
        <f>EK56+EM56</f>
        <v>3000</v>
      </c>
      <c r="EP56" s="15"/>
      <c r="EQ56" s="15">
        <f>EN56+EP56</f>
        <v>3000</v>
      </c>
      <c r="ES56" s="15"/>
      <c r="ET56" s="15">
        <f>EQ56+ES56</f>
        <v>3000</v>
      </c>
      <c r="EW56" s="15">
        <f>ET56+EV56</f>
        <v>3000</v>
      </c>
      <c r="EZ56" s="15">
        <f>EW56+EY56</f>
        <v>3000</v>
      </c>
      <c r="FC56" s="15">
        <f>EZ56+FB56</f>
        <v>3000</v>
      </c>
      <c r="FF56" s="15">
        <f>FC56+FE56</f>
        <v>3000</v>
      </c>
      <c r="FI56" s="15">
        <f>FF56+FH56</f>
        <v>3000</v>
      </c>
      <c r="FL56" s="15">
        <f>FI56+FK56</f>
        <v>3000</v>
      </c>
      <c r="FO56" s="15">
        <f>FL56+FN56</f>
        <v>3000</v>
      </c>
      <c r="FR56" s="15">
        <v>3000</v>
      </c>
      <c r="FT56" s="15">
        <v>0</v>
      </c>
      <c r="FV56" s="15">
        <v>0</v>
      </c>
      <c r="FW56" s="235" t="e">
        <f t="shared" si="136"/>
        <v>#DIV/0!</v>
      </c>
    </row>
    <row r="57" spans="1:179" outlineLevel="1">
      <c r="A57" s="1" t="s">
        <v>141</v>
      </c>
      <c r="B57" s="1" t="s">
        <v>144</v>
      </c>
      <c r="C57" s="4" t="s">
        <v>145</v>
      </c>
      <c r="D57" s="43">
        <v>0</v>
      </c>
      <c r="E57" s="34">
        <v>0</v>
      </c>
      <c r="F57" s="43">
        <v>11836</v>
      </c>
      <c r="G57" s="34">
        <v>100</v>
      </c>
      <c r="H57" s="46">
        <v>11836</v>
      </c>
      <c r="I57" s="36">
        <v>11836</v>
      </c>
      <c r="J57" s="14"/>
      <c r="L57" s="118">
        <v>0</v>
      </c>
      <c r="M57" s="17">
        <f t="shared" si="137"/>
        <v>-1</v>
      </c>
      <c r="N57" s="17">
        <f t="shared" si="138"/>
        <v>-1</v>
      </c>
      <c r="Y57" s="118"/>
      <c r="AF57" s="182"/>
      <c r="AH57" s="15"/>
      <c r="AX57" s="15"/>
      <c r="BD57" s="15"/>
      <c r="BG57" s="15"/>
      <c r="DE57" s="15"/>
      <c r="DH57" s="15"/>
      <c r="DK57" s="15"/>
      <c r="DN57" s="15"/>
      <c r="DQ57" s="15"/>
      <c r="DT57" s="15"/>
      <c r="DW57" s="15"/>
      <c r="DZ57" s="15"/>
      <c r="EC57" s="15"/>
      <c r="EF57" s="15"/>
      <c r="EK57" s="15"/>
      <c r="EM57" s="15"/>
      <c r="EP57" s="15"/>
      <c r="ES57" s="15"/>
    </row>
    <row r="58" spans="1:179" outlineLevel="1">
      <c r="A58" s="1" t="s">
        <v>141</v>
      </c>
      <c r="B58" s="1" t="s">
        <v>113</v>
      </c>
      <c r="C58" s="4" t="s">
        <v>114</v>
      </c>
      <c r="D58" s="43">
        <v>0</v>
      </c>
      <c r="E58" s="34">
        <v>0</v>
      </c>
      <c r="F58" s="43">
        <v>0</v>
      </c>
      <c r="G58" s="34">
        <v>0</v>
      </c>
      <c r="H58" s="46">
        <v>3100</v>
      </c>
      <c r="I58" s="36">
        <v>3100</v>
      </c>
      <c r="J58" s="14"/>
      <c r="L58" s="118">
        <v>0</v>
      </c>
      <c r="M58" s="17" t="e">
        <f t="shared" si="137"/>
        <v>#DIV/0!</v>
      </c>
      <c r="N58" s="17">
        <f t="shared" si="138"/>
        <v>-1</v>
      </c>
      <c r="Y58" s="118"/>
      <c r="AF58" s="182"/>
      <c r="AH58" s="15"/>
      <c r="AX58" s="15"/>
      <c r="BD58" s="15"/>
      <c r="BG58" s="15"/>
      <c r="DE58" s="15"/>
      <c r="DH58" s="15"/>
      <c r="DK58" s="15"/>
      <c r="DN58" s="15"/>
      <c r="DQ58" s="15"/>
      <c r="DT58" s="15"/>
      <c r="DW58" s="15"/>
      <c r="DZ58" s="15"/>
      <c r="EC58" s="15"/>
      <c r="EF58" s="15"/>
      <c r="EK58" s="15"/>
      <c r="EM58" s="15"/>
      <c r="EP58" s="15"/>
      <c r="ES58" s="15"/>
    </row>
    <row r="59" spans="1:179" outlineLevel="1">
      <c r="A59" s="1" t="s">
        <v>141</v>
      </c>
      <c r="B59" s="1" t="s">
        <v>146</v>
      </c>
      <c r="C59" s="4" t="s">
        <v>147</v>
      </c>
      <c r="D59" s="43">
        <v>22000</v>
      </c>
      <c r="E59" s="34">
        <v>75.47</v>
      </c>
      <c r="F59" s="43">
        <v>22000</v>
      </c>
      <c r="G59" s="34">
        <v>75.47</v>
      </c>
      <c r="H59" s="46">
        <v>16603</v>
      </c>
      <c r="I59" s="36">
        <v>21000</v>
      </c>
      <c r="J59" s="14"/>
      <c r="L59" s="118">
        <v>20000</v>
      </c>
      <c r="M59" s="17">
        <f t="shared" si="137"/>
        <v>-9.0909090909090939E-2</v>
      </c>
      <c r="N59" s="17">
        <f t="shared" si="138"/>
        <v>-4.7619047619047672E-2</v>
      </c>
      <c r="Q59" s="118">
        <v>19860</v>
      </c>
      <c r="R59" s="15">
        <v>0</v>
      </c>
      <c r="S59" s="118">
        <v>2800</v>
      </c>
      <c r="T59" s="157">
        <f>S59-Q59</f>
        <v>-17060</v>
      </c>
      <c r="U59" s="16">
        <f>S59/Q59-1</f>
        <v>-0.85901309164149042</v>
      </c>
      <c r="V59" s="140">
        <v>19860</v>
      </c>
      <c r="W59">
        <v>-140</v>
      </c>
      <c r="Y59" s="118">
        <v>2800</v>
      </c>
      <c r="AA59" s="118">
        <v>0</v>
      </c>
      <c r="AB59" s="185">
        <f>AA59-Y59</f>
        <v>-2800</v>
      </c>
      <c r="AC59" s="187">
        <f t="shared" ref="AC59:AC64" si="144">AA59-Y59</f>
        <v>-2800</v>
      </c>
      <c r="AD59" s="187"/>
      <c r="AE59" s="118">
        <v>0</v>
      </c>
      <c r="AF59" s="182"/>
      <c r="AH59" s="15">
        <v>0</v>
      </c>
      <c r="AK59" s="118">
        <v>1000</v>
      </c>
      <c r="AP59" s="220">
        <v>1000</v>
      </c>
      <c r="AS59" s="15">
        <f>AR59+AK59</f>
        <v>1000</v>
      </c>
      <c r="AV59" s="15">
        <f t="shared" ref="AV59:AV64" si="145">AS59+AU59</f>
        <v>1000</v>
      </c>
      <c r="AX59" s="15"/>
      <c r="AY59" s="15">
        <f t="shared" ref="AY59:AY64" si="146">AV59+AX59</f>
        <v>1000</v>
      </c>
      <c r="BB59" s="15">
        <f t="shared" ref="BB59:BB64" si="147">AY59+BA59</f>
        <v>1000</v>
      </c>
      <c r="BD59" s="15">
        <v>1000</v>
      </c>
      <c r="BE59" s="15">
        <f t="shared" ref="BE59:BE64" si="148">BB59+BD59</f>
        <v>2000</v>
      </c>
      <c r="BG59" s="15"/>
      <c r="BH59" s="15">
        <f t="shared" ref="BH59:BH64" si="149">BE59+BG59</f>
        <v>2000</v>
      </c>
      <c r="BJ59" s="15">
        <v>928</v>
      </c>
      <c r="BK59" s="235">
        <f t="shared" ref="BK59:BK64" si="150">BJ59/BH59</f>
        <v>0.46400000000000002</v>
      </c>
      <c r="BM59" s="15">
        <v>1000</v>
      </c>
      <c r="BN59" s="235">
        <f t="shared" ref="BN59:BN64" si="151">BM59/BJ59</f>
        <v>1.0775862068965518</v>
      </c>
      <c r="BO59" s="235">
        <f t="shared" ref="BO59:BO64" si="152">BM59/BH59</f>
        <v>0.5</v>
      </c>
      <c r="BQ59" s="15"/>
      <c r="BR59" s="15">
        <f>BM59+BQ59</f>
        <v>1000</v>
      </c>
      <c r="BT59" s="15"/>
      <c r="BU59" s="15">
        <f>BR59+BT59</f>
        <v>1000</v>
      </c>
      <c r="BW59" s="15"/>
      <c r="BX59" s="15">
        <f>BU59+BW59</f>
        <v>1000</v>
      </c>
      <c r="BZ59" s="15"/>
      <c r="CA59" s="15">
        <f>BX59+BZ59</f>
        <v>1000</v>
      </c>
      <c r="CC59" s="15"/>
      <c r="CD59" s="15">
        <f>CA59+CC59</f>
        <v>1000</v>
      </c>
      <c r="CF59" s="15"/>
      <c r="CG59" s="15">
        <f>CD59+CF59</f>
        <v>1000</v>
      </c>
      <c r="CI59" s="15"/>
      <c r="CJ59" s="15">
        <f>CG59+CI59</f>
        <v>1000</v>
      </c>
      <c r="CM59" s="15">
        <f>CJ59+CL59</f>
        <v>1000</v>
      </c>
      <c r="CO59" s="15">
        <v>500</v>
      </c>
      <c r="CP59" s="15">
        <f t="shared" ref="CP59:CP65" si="153">CM59+CO59</f>
        <v>1500</v>
      </c>
      <c r="CS59" s="15">
        <f t="shared" ref="CS59:CS65" si="154">CP59+CR59</f>
        <v>1500</v>
      </c>
      <c r="CU59" s="227">
        <v>-1500</v>
      </c>
      <c r="CV59" s="15">
        <f t="shared" ref="CV59:CV65" si="155">CS59+CU59</f>
        <v>0</v>
      </c>
      <c r="CX59" s="227"/>
      <c r="CY59" s="15">
        <f t="shared" ref="CY59:CY65" si="156">CV59+CX59</f>
        <v>0</v>
      </c>
      <c r="DA59" s="15">
        <v>0</v>
      </c>
      <c r="DE59" s="15"/>
      <c r="DF59" s="15">
        <f t="shared" ref="DF59:DF64" si="157">DC59+DE59</f>
        <v>0</v>
      </c>
      <c r="DH59" s="15"/>
      <c r="DI59" s="15">
        <f t="shared" ref="DI59:DI64" si="158">DF59+DH59</f>
        <v>0</v>
      </c>
      <c r="DK59" s="15"/>
      <c r="DL59" s="15">
        <f t="shared" ref="DL59:DL64" si="159">DI59+DK59</f>
        <v>0</v>
      </c>
      <c r="DN59" s="15"/>
      <c r="DO59" s="15">
        <f t="shared" ref="DO59:DO64" si="160">DL59+DN59</f>
        <v>0</v>
      </c>
      <c r="DQ59" s="15"/>
      <c r="DR59" s="15">
        <f t="shared" ref="DR59:DR64" si="161">DO59+DQ59</f>
        <v>0</v>
      </c>
      <c r="DT59" s="15"/>
      <c r="DU59" s="15">
        <f t="shared" ref="DU59:DU64" si="162">DR59+DT59</f>
        <v>0</v>
      </c>
      <c r="DW59" s="15"/>
      <c r="DX59" s="15">
        <f t="shared" ref="DX59:DX64" si="163">DU59+DW59</f>
        <v>0</v>
      </c>
      <c r="DZ59" s="15"/>
      <c r="EA59" s="15">
        <f t="shared" ref="EA59:EA64" si="164">DX59+DZ59</f>
        <v>0</v>
      </c>
      <c r="EC59" s="15"/>
      <c r="ED59" s="15">
        <f t="shared" ref="ED59:ED64" si="165">EA59+EC59</f>
        <v>0</v>
      </c>
      <c r="EF59" s="15"/>
      <c r="EG59" s="15">
        <f t="shared" ref="EG59:EG64" si="166">ED59+EF59</f>
        <v>0</v>
      </c>
      <c r="EK59" s="15"/>
      <c r="EM59" s="15"/>
      <c r="EN59" s="15">
        <f t="shared" ref="EN59:EN64" si="167">EK59+EM59</f>
        <v>0</v>
      </c>
      <c r="EP59" s="227">
        <v>3000</v>
      </c>
      <c r="EQ59" s="15">
        <f t="shared" ref="EQ59:EQ64" si="168">EN59+EP59</f>
        <v>3000</v>
      </c>
      <c r="ES59" s="15"/>
      <c r="ET59" s="15">
        <f t="shared" ref="ET59:ET64" si="169">EQ59+ES59</f>
        <v>3000</v>
      </c>
      <c r="EW59" s="15">
        <f t="shared" ref="EW59:EW64" si="170">ET59+EV59</f>
        <v>3000</v>
      </c>
      <c r="EZ59" s="15">
        <f t="shared" ref="EZ59:EZ64" si="171">EW59+EY59</f>
        <v>3000</v>
      </c>
      <c r="FC59" s="15">
        <f t="shared" ref="FC59:FC64" si="172">EZ59+FB59</f>
        <v>3000</v>
      </c>
      <c r="FF59" s="15">
        <f t="shared" ref="FF59:FF64" si="173">FC59+FE59</f>
        <v>3000</v>
      </c>
      <c r="FI59" s="15">
        <f t="shared" ref="FI59:FI64" si="174">FF59+FH59</f>
        <v>3000</v>
      </c>
      <c r="FL59" s="15">
        <f t="shared" ref="FL59:FL64" si="175">FI59+FK59</f>
        <v>3000</v>
      </c>
      <c r="FO59" s="15">
        <f t="shared" ref="FO59:FO60" si="176">FL59+FN59</f>
        <v>3000</v>
      </c>
      <c r="FR59" s="15">
        <v>3000</v>
      </c>
      <c r="FT59" s="15">
        <v>2100</v>
      </c>
      <c r="FV59" s="15">
        <v>3000</v>
      </c>
      <c r="FW59" s="235">
        <f t="shared" ref="FW59:FW64" si="177">FV59/FT59</f>
        <v>1.4285714285714286</v>
      </c>
    </row>
    <row r="60" spans="1:179" outlineLevel="1">
      <c r="A60" s="1" t="s">
        <v>141</v>
      </c>
      <c r="B60" s="1" t="s">
        <v>115</v>
      </c>
      <c r="C60" s="4" t="s">
        <v>116</v>
      </c>
      <c r="D60" s="43">
        <v>20000</v>
      </c>
      <c r="E60" s="34">
        <v>153.63999999999999</v>
      </c>
      <c r="F60" s="43">
        <v>35000</v>
      </c>
      <c r="G60" s="34">
        <v>87.79</v>
      </c>
      <c r="H60" s="46">
        <v>30728</v>
      </c>
      <c r="I60" s="36">
        <v>31000</v>
      </c>
      <c r="J60" s="14"/>
      <c r="L60" s="118">
        <f>'[1]2020'!$Q$65</f>
        <v>30000</v>
      </c>
      <c r="M60" s="17">
        <f t="shared" si="137"/>
        <v>-0.1428571428571429</v>
      </c>
      <c r="N60" s="17">
        <f t="shared" si="138"/>
        <v>-3.2258064516129004E-2</v>
      </c>
      <c r="Q60" s="118">
        <v>30000</v>
      </c>
      <c r="R60" s="15">
        <v>0</v>
      </c>
      <c r="S60" s="118">
        <v>0</v>
      </c>
      <c r="T60" s="157">
        <f>S60-Q60</f>
        <v>-30000</v>
      </c>
      <c r="U60" s="16">
        <f>S60/Q60-1</f>
        <v>-1</v>
      </c>
      <c r="Y60" s="118">
        <v>0</v>
      </c>
      <c r="AA60" s="118">
        <v>0</v>
      </c>
      <c r="AB60" s="185">
        <f>AA60-Y60</f>
        <v>0</v>
      </c>
      <c r="AC60" s="187">
        <f t="shared" si="144"/>
        <v>0</v>
      </c>
      <c r="AD60" s="187"/>
      <c r="AE60" s="118">
        <v>0</v>
      </c>
      <c r="AF60" s="182"/>
      <c r="AH60" s="15">
        <v>0</v>
      </c>
      <c r="AK60" s="118">
        <v>500</v>
      </c>
      <c r="AP60" s="220">
        <v>500</v>
      </c>
      <c r="AS60" s="15">
        <f>AR60+AK60</f>
        <v>500</v>
      </c>
      <c r="AV60" s="15">
        <f t="shared" si="145"/>
        <v>500</v>
      </c>
      <c r="AX60" s="15"/>
      <c r="AY60" s="15">
        <f t="shared" si="146"/>
        <v>500</v>
      </c>
      <c r="BB60" s="15">
        <f t="shared" si="147"/>
        <v>500</v>
      </c>
      <c r="BD60" s="15"/>
      <c r="BE60" s="15">
        <f t="shared" si="148"/>
        <v>500</v>
      </c>
      <c r="BG60" s="15"/>
      <c r="BH60" s="15">
        <f t="shared" si="149"/>
        <v>500</v>
      </c>
      <c r="BJ60" s="15">
        <v>450</v>
      </c>
      <c r="BK60" s="235">
        <f t="shared" si="150"/>
        <v>0.9</v>
      </c>
      <c r="BM60" s="15">
        <v>0</v>
      </c>
      <c r="BN60" s="235">
        <f t="shared" si="151"/>
        <v>0</v>
      </c>
      <c r="BO60" s="235">
        <f t="shared" si="152"/>
        <v>0</v>
      </c>
      <c r="BQ60" s="15"/>
      <c r="BR60" s="15">
        <f>BM60+BQ60</f>
        <v>0</v>
      </c>
      <c r="BT60" s="227">
        <v>8000</v>
      </c>
      <c r="BU60" s="15">
        <f>BR60+BT60</f>
        <v>8000</v>
      </c>
      <c r="BW60" s="15"/>
      <c r="BX60" s="15">
        <f>BU60+BW60</f>
        <v>8000</v>
      </c>
      <c r="BZ60" s="15"/>
      <c r="CA60" s="15">
        <f>BX60+BZ60</f>
        <v>8000</v>
      </c>
      <c r="CC60" s="15"/>
      <c r="CD60" s="15">
        <f>CA60+CC60</f>
        <v>8000</v>
      </c>
      <c r="CF60" s="15"/>
      <c r="CG60" s="15">
        <f>CD60+CF60</f>
        <v>8000</v>
      </c>
      <c r="CI60" s="15"/>
      <c r="CJ60" s="15">
        <f>CG60+CI60</f>
        <v>8000</v>
      </c>
      <c r="CM60" s="15">
        <f>CJ60+CL60</f>
        <v>8000</v>
      </c>
      <c r="CP60" s="15">
        <f t="shared" si="153"/>
        <v>8000</v>
      </c>
      <c r="CS60" s="15">
        <f t="shared" si="154"/>
        <v>8000</v>
      </c>
      <c r="CV60" s="15">
        <f t="shared" si="155"/>
        <v>8000</v>
      </c>
      <c r="CY60" s="15">
        <f t="shared" si="156"/>
        <v>8000</v>
      </c>
      <c r="DA60" s="15">
        <v>8000</v>
      </c>
      <c r="DC60" s="15">
        <v>10000</v>
      </c>
      <c r="DE60" s="15"/>
      <c r="DF60" s="15">
        <f t="shared" si="157"/>
        <v>10000</v>
      </c>
      <c r="DH60" s="227">
        <v>5000</v>
      </c>
      <c r="DI60" s="15">
        <f t="shared" si="158"/>
        <v>15000</v>
      </c>
      <c r="DK60" s="15"/>
      <c r="DL60" s="15">
        <f t="shared" si="159"/>
        <v>15000</v>
      </c>
      <c r="DN60" s="15"/>
      <c r="DO60" s="15">
        <f t="shared" si="160"/>
        <v>15000</v>
      </c>
      <c r="DQ60" s="227">
        <v>7000</v>
      </c>
      <c r="DR60" s="15">
        <f t="shared" si="161"/>
        <v>22000</v>
      </c>
      <c r="DT60" s="15"/>
      <c r="DU60" s="15">
        <f t="shared" si="162"/>
        <v>22000</v>
      </c>
      <c r="DW60" s="15"/>
      <c r="DX60" s="15">
        <f t="shared" si="163"/>
        <v>22000</v>
      </c>
      <c r="DZ60" s="15"/>
      <c r="EA60" s="15">
        <f t="shared" si="164"/>
        <v>22000</v>
      </c>
      <c r="EC60" s="15"/>
      <c r="ED60" s="15">
        <f t="shared" si="165"/>
        <v>22000</v>
      </c>
      <c r="EF60" s="227">
        <v>-3000</v>
      </c>
      <c r="EG60" s="15">
        <f t="shared" si="166"/>
        <v>19000</v>
      </c>
      <c r="EI60" s="15">
        <v>18520</v>
      </c>
      <c r="EK60" s="15">
        <v>15000</v>
      </c>
      <c r="EM60" s="15"/>
      <c r="EN60" s="15">
        <f t="shared" si="167"/>
        <v>15000</v>
      </c>
      <c r="EP60" s="15"/>
      <c r="EQ60" s="15">
        <f t="shared" si="168"/>
        <v>15000</v>
      </c>
      <c r="ES60" s="15"/>
      <c r="ET60" s="15">
        <f t="shared" si="169"/>
        <v>15000</v>
      </c>
      <c r="EW60" s="15">
        <f t="shared" si="170"/>
        <v>15000</v>
      </c>
      <c r="EZ60" s="15">
        <f t="shared" si="171"/>
        <v>15000</v>
      </c>
      <c r="FC60" s="15">
        <f t="shared" si="172"/>
        <v>15000</v>
      </c>
      <c r="FF60" s="15">
        <f t="shared" si="173"/>
        <v>15000</v>
      </c>
      <c r="FI60" s="15">
        <f t="shared" si="174"/>
        <v>15000</v>
      </c>
      <c r="FL60" s="15">
        <f t="shared" si="175"/>
        <v>15000</v>
      </c>
      <c r="FO60" s="15">
        <f t="shared" si="176"/>
        <v>15000</v>
      </c>
      <c r="FR60" s="15">
        <v>15000</v>
      </c>
      <c r="FT60" s="15">
        <v>13000</v>
      </c>
      <c r="FV60" s="15">
        <v>18500</v>
      </c>
      <c r="FW60" s="235">
        <f t="shared" si="177"/>
        <v>1.4230769230769231</v>
      </c>
    </row>
    <row r="61" spans="1:179" outlineLevel="1">
      <c r="A61" s="1" t="s">
        <v>141</v>
      </c>
      <c r="B61" s="1" t="s">
        <v>148</v>
      </c>
      <c r="C61" s="4" t="s">
        <v>149</v>
      </c>
      <c r="D61" s="43">
        <v>20000</v>
      </c>
      <c r="E61" s="34">
        <v>13.99</v>
      </c>
      <c r="F61" s="43">
        <v>20000</v>
      </c>
      <c r="G61" s="34">
        <v>13.99</v>
      </c>
      <c r="H61" s="46">
        <v>2798</v>
      </c>
      <c r="I61" s="36">
        <v>5000</v>
      </c>
      <c r="J61" s="14"/>
      <c r="L61" s="118">
        <v>5000</v>
      </c>
      <c r="M61" s="17">
        <f t="shared" si="137"/>
        <v>-0.75</v>
      </c>
      <c r="N61" s="17">
        <f t="shared" si="138"/>
        <v>0</v>
      </c>
      <c r="Q61" s="118">
        <v>5000</v>
      </c>
      <c r="R61" s="15">
        <v>4612</v>
      </c>
      <c r="S61" s="118">
        <v>7000</v>
      </c>
      <c r="T61" s="157">
        <f>S61-Q61</f>
        <v>2000</v>
      </c>
      <c r="U61" s="16">
        <f>S61/Q61-1</f>
        <v>0.39999999999999991</v>
      </c>
      <c r="Y61" s="118">
        <v>7000</v>
      </c>
      <c r="AA61" s="118">
        <v>5100</v>
      </c>
      <c r="AB61" s="185">
        <f>AA61-Y61</f>
        <v>-1900</v>
      </c>
      <c r="AC61" s="187">
        <f t="shared" si="144"/>
        <v>-1900</v>
      </c>
      <c r="AD61" s="187"/>
      <c r="AE61" s="118">
        <v>5100</v>
      </c>
      <c r="AF61" s="182"/>
      <c r="AH61" s="15">
        <v>4612</v>
      </c>
      <c r="AI61" s="17">
        <f t="shared" ref="AI61:AI64" si="178">AH61/AE61</f>
        <v>0.90431372549019606</v>
      </c>
      <c r="AK61" s="118">
        <v>5000</v>
      </c>
      <c r="AS61" s="15">
        <f t="shared" ref="AS61:AS64" si="179">AR61+AK61</f>
        <v>5000</v>
      </c>
      <c r="AV61" s="15">
        <f t="shared" si="145"/>
        <v>5000</v>
      </c>
      <c r="AX61" s="15"/>
      <c r="AY61" s="15">
        <f t="shared" si="146"/>
        <v>5000</v>
      </c>
      <c r="BA61" s="227">
        <v>-4000</v>
      </c>
      <c r="BB61" s="15">
        <v>5000</v>
      </c>
      <c r="BD61" s="15"/>
      <c r="BE61" s="15">
        <f t="shared" si="148"/>
        <v>5000</v>
      </c>
      <c r="BG61" s="15"/>
      <c r="BH61" s="15">
        <f t="shared" si="149"/>
        <v>5000</v>
      </c>
      <c r="BJ61" s="15">
        <v>3418</v>
      </c>
      <c r="BK61" s="235">
        <f t="shared" si="150"/>
        <v>0.68359999999999999</v>
      </c>
      <c r="BM61" s="15">
        <v>5000</v>
      </c>
      <c r="BN61" s="235">
        <f t="shared" si="151"/>
        <v>1.4628437682855471</v>
      </c>
      <c r="BO61" s="235">
        <f t="shared" si="152"/>
        <v>1</v>
      </c>
      <c r="BQ61" s="15"/>
      <c r="BR61" s="15">
        <f>BM61+BQ61</f>
        <v>5000</v>
      </c>
      <c r="BT61" s="227">
        <v>2000</v>
      </c>
      <c r="BU61" s="15">
        <f>BR61+BT61</f>
        <v>7000</v>
      </c>
      <c r="BW61" s="15"/>
      <c r="BX61" s="15">
        <f>BU61+BW61</f>
        <v>7000</v>
      </c>
      <c r="BZ61" s="15"/>
      <c r="CA61" s="15">
        <f>BX61+BZ61</f>
        <v>7000</v>
      </c>
      <c r="CC61" s="15"/>
      <c r="CD61" s="15">
        <f>CA61+CC61</f>
        <v>7000</v>
      </c>
      <c r="CF61" s="15"/>
      <c r="CG61" s="15">
        <f>CD61+CF61</f>
        <v>7000</v>
      </c>
      <c r="CI61" s="15"/>
      <c r="CJ61" s="15">
        <f>CG61+CI61</f>
        <v>7000</v>
      </c>
      <c r="CL61" s="15">
        <v>5000</v>
      </c>
      <c r="CM61" s="15">
        <f>CJ61+CL61</f>
        <v>12000</v>
      </c>
      <c r="CP61" s="15">
        <f t="shared" si="153"/>
        <v>12000</v>
      </c>
      <c r="CS61" s="15">
        <f t="shared" si="154"/>
        <v>12000</v>
      </c>
      <c r="CU61" s="227">
        <v>-2000</v>
      </c>
      <c r="CV61" s="15">
        <f t="shared" si="155"/>
        <v>10000</v>
      </c>
      <c r="CX61" s="227"/>
      <c r="CY61" s="15">
        <f t="shared" si="156"/>
        <v>10000</v>
      </c>
      <c r="DA61" s="15">
        <v>9924</v>
      </c>
      <c r="DC61" s="15">
        <v>10000</v>
      </c>
      <c r="DE61" s="15"/>
      <c r="DF61" s="15">
        <f t="shared" si="157"/>
        <v>10000</v>
      </c>
      <c r="DH61" s="15"/>
      <c r="DI61" s="15">
        <f t="shared" si="158"/>
        <v>10000</v>
      </c>
      <c r="DK61" s="15"/>
      <c r="DL61" s="15">
        <f t="shared" si="159"/>
        <v>10000</v>
      </c>
      <c r="DN61" s="15"/>
      <c r="DO61" s="15">
        <f t="shared" si="160"/>
        <v>10000</v>
      </c>
      <c r="DQ61" s="227">
        <v>-3000</v>
      </c>
      <c r="DR61" s="15">
        <f t="shared" si="161"/>
        <v>7000</v>
      </c>
      <c r="DT61" s="15"/>
      <c r="DU61" s="15">
        <f t="shared" si="162"/>
        <v>7000</v>
      </c>
      <c r="DW61" s="15"/>
      <c r="DX61" s="15">
        <f t="shared" si="163"/>
        <v>7000</v>
      </c>
      <c r="DZ61" s="15"/>
      <c r="EA61" s="15">
        <f t="shared" si="164"/>
        <v>7000</v>
      </c>
      <c r="EC61" s="15"/>
      <c r="ED61" s="15">
        <f t="shared" si="165"/>
        <v>7000</v>
      </c>
      <c r="EF61" s="227">
        <v>6000</v>
      </c>
      <c r="EG61" s="15">
        <f t="shared" si="166"/>
        <v>13000</v>
      </c>
      <c r="EI61" s="15">
        <v>12037</v>
      </c>
      <c r="EK61" s="15">
        <v>12000</v>
      </c>
      <c r="EM61" s="15"/>
      <c r="EN61" s="15">
        <f t="shared" si="167"/>
        <v>12000</v>
      </c>
      <c r="EP61" s="15"/>
      <c r="EQ61" s="15">
        <f t="shared" si="168"/>
        <v>12000</v>
      </c>
      <c r="ES61" s="15"/>
      <c r="ET61" s="15">
        <f t="shared" si="169"/>
        <v>12000</v>
      </c>
      <c r="EW61" s="15">
        <f t="shared" si="170"/>
        <v>12000</v>
      </c>
      <c r="EZ61" s="15">
        <f t="shared" si="171"/>
        <v>12000</v>
      </c>
      <c r="FC61" s="15">
        <f t="shared" si="172"/>
        <v>12000</v>
      </c>
      <c r="FF61" s="15">
        <f t="shared" si="173"/>
        <v>12000</v>
      </c>
      <c r="FI61" s="15">
        <f t="shared" si="174"/>
        <v>12000</v>
      </c>
      <c r="FL61" s="15">
        <f>FI61+FK61</f>
        <v>12000</v>
      </c>
      <c r="FO61" s="15">
        <f>FL61+FN61</f>
        <v>12000</v>
      </c>
      <c r="FR61" s="15">
        <v>12000</v>
      </c>
      <c r="FT61" s="15">
        <v>11623</v>
      </c>
      <c r="FV61" s="15">
        <v>12000</v>
      </c>
      <c r="FW61" s="235">
        <f t="shared" si="177"/>
        <v>1.032435687860277</v>
      </c>
    </row>
    <row r="62" spans="1:179" outlineLevel="1">
      <c r="A62" s="1" t="s">
        <v>141</v>
      </c>
      <c r="B62" s="1" t="s">
        <v>150</v>
      </c>
      <c r="C62" s="4" t="s">
        <v>151</v>
      </c>
      <c r="D62" s="43">
        <v>2000</v>
      </c>
      <c r="E62" s="34">
        <v>110</v>
      </c>
      <c r="F62" s="43">
        <v>2000</v>
      </c>
      <c r="G62" s="34">
        <v>110</v>
      </c>
      <c r="H62" s="46">
        <v>2200</v>
      </c>
      <c r="I62" s="36">
        <v>2200</v>
      </c>
      <c r="J62" s="14"/>
      <c r="K62" t="s">
        <v>332</v>
      </c>
      <c r="L62" s="121">
        <f>'[1]2020'!$Q$70</f>
        <v>2000</v>
      </c>
      <c r="M62" s="17">
        <f t="shared" si="137"/>
        <v>0</v>
      </c>
      <c r="N62" s="17">
        <f t="shared" si="138"/>
        <v>-9.0909090909090939E-2</v>
      </c>
      <c r="Q62" s="118">
        <v>2000</v>
      </c>
      <c r="R62" s="15">
        <v>1600</v>
      </c>
      <c r="S62" s="118">
        <v>2100</v>
      </c>
      <c r="T62" s="157">
        <f>S62-Q62</f>
        <v>100</v>
      </c>
      <c r="U62" s="16">
        <f>S62/Q62-1</f>
        <v>5.0000000000000044E-2</v>
      </c>
      <c r="Y62" s="118">
        <v>4000</v>
      </c>
      <c r="AA62" s="118">
        <v>4000</v>
      </c>
      <c r="AB62" s="185">
        <f t="shared" ref="AB62:AB64" si="180">AA62-Y62</f>
        <v>0</v>
      </c>
      <c r="AC62" s="187">
        <f t="shared" si="144"/>
        <v>0</v>
      </c>
      <c r="AD62" s="187"/>
      <c r="AE62" s="118">
        <v>4300</v>
      </c>
      <c r="AF62" s="182">
        <f>AE62-AA62</f>
        <v>300</v>
      </c>
      <c r="AH62" s="15">
        <v>4219</v>
      </c>
      <c r="AI62" s="17">
        <f t="shared" si="178"/>
        <v>0.98116279069767443</v>
      </c>
      <c r="AK62" s="118">
        <v>5000</v>
      </c>
      <c r="AS62" s="15">
        <f t="shared" si="179"/>
        <v>5000</v>
      </c>
      <c r="AV62" s="15">
        <f t="shared" si="145"/>
        <v>5000</v>
      </c>
      <c r="AX62" s="15"/>
      <c r="AY62" s="15">
        <f t="shared" si="146"/>
        <v>5000</v>
      </c>
      <c r="BA62" s="227">
        <v>5000</v>
      </c>
      <c r="BB62" s="15">
        <f t="shared" si="147"/>
        <v>10000</v>
      </c>
      <c r="BD62" s="15"/>
      <c r="BE62" s="15">
        <f t="shared" si="148"/>
        <v>10000</v>
      </c>
      <c r="BG62" s="15"/>
      <c r="BH62" s="15">
        <f t="shared" si="149"/>
        <v>10000</v>
      </c>
      <c r="BJ62" s="15">
        <v>9075.43</v>
      </c>
      <c r="BK62" s="235">
        <f t="shared" si="150"/>
        <v>0.90754299999999999</v>
      </c>
      <c r="BM62" s="15">
        <v>10000</v>
      </c>
      <c r="BN62" s="235">
        <f t="shared" si="151"/>
        <v>1.1018761645453714</v>
      </c>
      <c r="BO62" s="235">
        <f t="shared" si="152"/>
        <v>1</v>
      </c>
      <c r="BQ62" s="15"/>
      <c r="BR62" s="15">
        <f>BM62+BQ62</f>
        <v>10000</v>
      </c>
      <c r="BT62" s="15"/>
      <c r="BU62" s="15">
        <f>BR62+BT62</f>
        <v>10000</v>
      </c>
      <c r="BW62" s="15"/>
      <c r="BX62" s="15">
        <f>BU62+BW62</f>
        <v>10000</v>
      </c>
      <c r="BZ62" s="15"/>
      <c r="CA62" s="15">
        <f>BX62+BZ62</f>
        <v>10000</v>
      </c>
      <c r="CC62" s="15"/>
      <c r="CD62" s="15">
        <f>CA62+CC62</f>
        <v>10000</v>
      </c>
      <c r="CF62" s="15">
        <v>1000</v>
      </c>
      <c r="CG62" s="15">
        <f>CD62+CF62</f>
        <v>11000</v>
      </c>
      <c r="CI62" s="15"/>
      <c r="CJ62" s="15">
        <f>CG62+CI62</f>
        <v>11000</v>
      </c>
      <c r="CL62" s="15">
        <v>2000</v>
      </c>
      <c r="CM62" s="15">
        <f>CJ62+CL62</f>
        <v>13000</v>
      </c>
      <c r="CO62" s="15">
        <v>9500</v>
      </c>
      <c r="CP62" s="15">
        <f t="shared" si="153"/>
        <v>22500</v>
      </c>
      <c r="CS62" s="15">
        <f t="shared" si="154"/>
        <v>22500</v>
      </c>
      <c r="CU62" s="227">
        <v>-3500</v>
      </c>
      <c r="CV62" s="15">
        <f t="shared" si="155"/>
        <v>19000</v>
      </c>
      <c r="CX62" s="227"/>
      <c r="CY62" s="15">
        <f t="shared" si="156"/>
        <v>19000</v>
      </c>
      <c r="DA62" s="15">
        <v>18953.39</v>
      </c>
      <c r="DC62" s="15">
        <v>20000</v>
      </c>
      <c r="DE62" s="15"/>
      <c r="DF62" s="15">
        <f t="shared" si="157"/>
        <v>20000</v>
      </c>
      <c r="DH62" s="15"/>
      <c r="DI62" s="15">
        <f t="shared" si="158"/>
        <v>20000</v>
      </c>
      <c r="DK62" s="15"/>
      <c r="DL62" s="15">
        <f t="shared" si="159"/>
        <v>20000</v>
      </c>
      <c r="DN62" s="15"/>
      <c r="DO62" s="15">
        <f t="shared" si="160"/>
        <v>20000</v>
      </c>
      <c r="DQ62" s="227">
        <v>-4000</v>
      </c>
      <c r="DR62" s="15">
        <f t="shared" si="161"/>
        <v>16000</v>
      </c>
      <c r="DT62" s="15"/>
      <c r="DU62" s="15">
        <f t="shared" si="162"/>
        <v>16000</v>
      </c>
      <c r="DW62" s="15"/>
      <c r="DX62" s="15">
        <f t="shared" si="163"/>
        <v>16000</v>
      </c>
      <c r="DZ62" s="15"/>
      <c r="EA62" s="15">
        <f t="shared" si="164"/>
        <v>16000</v>
      </c>
      <c r="EC62" s="15"/>
      <c r="ED62" s="15">
        <f t="shared" si="165"/>
        <v>16000</v>
      </c>
      <c r="EF62" s="227">
        <v>-10000</v>
      </c>
      <c r="EG62" s="15">
        <f t="shared" si="166"/>
        <v>6000</v>
      </c>
      <c r="EI62" s="15">
        <v>5346</v>
      </c>
      <c r="EK62" s="15">
        <v>10000</v>
      </c>
      <c r="EM62" s="15"/>
      <c r="EN62" s="15">
        <f t="shared" si="167"/>
        <v>10000</v>
      </c>
      <c r="EP62" s="15"/>
      <c r="EQ62" s="15">
        <f t="shared" si="168"/>
        <v>10000</v>
      </c>
      <c r="ES62" s="15"/>
      <c r="ET62" s="15">
        <f t="shared" si="169"/>
        <v>10000</v>
      </c>
      <c r="EW62" s="15">
        <f t="shared" si="170"/>
        <v>10000</v>
      </c>
      <c r="EZ62" s="15">
        <f t="shared" si="171"/>
        <v>10000</v>
      </c>
      <c r="FC62" s="15">
        <f t="shared" si="172"/>
        <v>10000</v>
      </c>
      <c r="FF62" s="15">
        <f t="shared" si="173"/>
        <v>10000</v>
      </c>
      <c r="FI62" s="15">
        <f t="shared" si="174"/>
        <v>10000</v>
      </c>
      <c r="FL62" s="15">
        <f>FI62+FK62</f>
        <v>10000</v>
      </c>
      <c r="FO62" s="15">
        <f>FL62+FN62</f>
        <v>10000</v>
      </c>
      <c r="FQ62" s="227">
        <v>-4500</v>
      </c>
      <c r="FR62" s="15">
        <v>5500</v>
      </c>
      <c r="FT62" s="15">
        <v>5340.6</v>
      </c>
      <c r="FV62" s="15">
        <v>5500</v>
      </c>
      <c r="FW62" s="235">
        <f t="shared" si="177"/>
        <v>1.0298468336890985</v>
      </c>
    </row>
    <row r="63" spans="1:179" outlineLevel="1">
      <c r="A63" s="1" t="s">
        <v>141</v>
      </c>
      <c r="B63" s="1" t="s">
        <v>107</v>
      </c>
      <c r="C63" s="4" t="s">
        <v>108</v>
      </c>
      <c r="D63" s="43"/>
      <c r="E63" s="34"/>
      <c r="F63" s="43"/>
      <c r="G63" s="34"/>
      <c r="H63" s="46"/>
      <c r="I63" s="36"/>
      <c r="J63" s="14"/>
      <c r="L63" s="121"/>
      <c r="M63" s="17"/>
      <c r="N63" s="17"/>
      <c r="T63" s="157"/>
      <c r="U63" s="16"/>
      <c r="Y63" s="118"/>
      <c r="AB63" s="185"/>
      <c r="AC63" s="187"/>
      <c r="AD63" s="187"/>
      <c r="AF63" s="182"/>
      <c r="AH63" s="15"/>
      <c r="AI63" s="17"/>
      <c r="AS63" s="15"/>
      <c r="AV63" s="15"/>
      <c r="AX63" s="15"/>
      <c r="AY63" s="15"/>
      <c r="BA63" s="227"/>
      <c r="BB63" s="15"/>
      <c r="BD63" s="15"/>
      <c r="BE63" s="15"/>
      <c r="BG63" s="15"/>
      <c r="BH63" s="15"/>
      <c r="BK63" s="235"/>
      <c r="BM63" s="15"/>
      <c r="BN63" s="235"/>
      <c r="BO63" s="235"/>
      <c r="BQ63" s="15"/>
      <c r="BR63" s="15"/>
      <c r="BT63" s="15"/>
      <c r="BU63" s="15"/>
      <c r="BW63" s="15"/>
      <c r="BX63" s="15"/>
      <c r="BZ63" s="15"/>
      <c r="CA63" s="15"/>
      <c r="CC63" s="15"/>
      <c r="CD63" s="15"/>
      <c r="CF63" s="15"/>
      <c r="CG63" s="15"/>
      <c r="CI63" s="15"/>
      <c r="CJ63" s="15"/>
      <c r="CM63" s="15"/>
      <c r="CP63" s="15"/>
      <c r="CS63" s="15"/>
      <c r="CU63" s="227"/>
      <c r="CV63" s="15"/>
      <c r="CX63" s="227"/>
      <c r="CY63" s="15"/>
      <c r="DE63" s="15"/>
      <c r="DF63" s="15"/>
      <c r="DH63" s="227">
        <v>3500</v>
      </c>
      <c r="DI63" s="15">
        <f t="shared" si="158"/>
        <v>3500</v>
      </c>
      <c r="DK63" s="15"/>
      <c r="DL63" s="15">
        <f t="shared" si="159"/>
        <v>3500</v>
      </c>
      <c r="DN63" s="15"/>
      <c r="DO63" s="15">
        <f t="shared" si="160"/>
        <v>3500</v>
      </c>
      <c r="DQ63" s="15"/>
      <c r="DR63" s="15">
        <f t="shared" si="161"/>
        <v>3500</v>
      </c>
      <c r="DT63" s="15"/>
      <c r="DU63" s="15">
        <f t="shared" si="162"/>
        <v>3500</v>
      </c>
      <c r="DW63" s="15"/>
      <c r="DX63" s="15">
        <f t="shared" si="163"/>
        <v>3500</v>
      </c>
      <c r="DZ63" s="15"/>
      <c r="EA63" s="15">
        <f t="shared" si="164"/>
        <v>3500</v>
      </c>
      <c r="EC63" s="15"/>
      <c r="ED63" s="15">
        <f t="shared" si="165"/>
        <v>3500</v>
      </c>
      <c r="EF63" s="15"/>
      <c r="EG63" s="15">
        <f t="shared" si="166"/>
        <v>3500</v>
      </c>
      <c r="EI63" s="15">
        <v>3500</v>
      </c>
      <c r="EK63" s="15">
        <v>0</v>
      </c>
      <c r="EM63" s="15"/>
      <c r="EN63" s="15">
        <f t="shared" si="167"/>
        <v>0</v>
      </c>
      <c r="EP63" s="15"/>
      <c r="EQ63" s="15">
        <f t="shared" si="168"/>
        <v>0</v>
      </c>
      <c r="ES63" s="15"/>
      <c r="ET63" s="15">
        <f t="shared" si="169"/>
        <v>0</v>
      </c>
      <c r="EW63" s="15">
        <f t="shared" si="170"/>
        <v>0</v>
      </c>
      <c r="EZ63" s="15">
        <f t="shared" si="171"/>
        <v>0</v>
      </c>
      <c r="FC63" s="15">
        <f t="shared" si="172"/>
        <v>0</v>
      </c>
      <c r="FF63" s="15">
        <f t="shared" si="173"/>
        <v>0</v>
      </c>
      <c r="FI63" s="15">
        <f t="shared" si="174"/>
        <v>0</v>
      </c>
      <c r="FL63" s="15">
        <f t="shared" si="175"/>
        <v>0</v>
      </c>
      <c r="FO63" s="15">
        <f t="shared" ref="FO63:FO64" si="181">FL63+FN63</f>
        <v>0</v>
      </c>
      <c r="FR63" s="15">
        <v>0</v>
      </c>
      <c r="FW63" s="235" t="e">
        <f t="shared" si="177"/>
        <v>#DIV/0!</v>
      </c>
    </row>
    <row r="64" spans="1:179" outlineLevel="1">
      <c r="A64" s="1" t="s">
        <v>141</v>
      </c>
      <c r="B64" s="1" t="s">
        <v>152</v>
      </c>
      <c r="C64" s="4" t="s">
        <v>153</v>
      </c>
      <c r="D64" s="43">
        <v>20000</v>
      </c>
      <c r="E64" s="34">
        <v>0</v>
      </c>
      <c r="F64" s="43">
        <v>20000</v>
      </c>
      <c r="G64" s="34">
        <v>0</v>
      </c>
      <c r="H64" s="46">
        <v>0</v>
      </c>
      <c r="I64" s="36">
        <v>20000</v>
      </c>
      <c r="J64" s="14"/>
      <c r="K64" t="s">
        <v>332</v>
      </c>
      <c r="L64" s="118">
        <f>'[1]2020'!$Q$69</f>
        <v>20000</v>
      </c>
      <c r="M64" s="17">
        <f t="shared" si="137"/>
        <v>0</v>
      </c>
      <c r="N64" s="17">
        <f t="shared" si="138"/>
        <v>0</v>
      </c>
      <c r="Q64" s="118">
        <v>20000</v>
      </c>
      <c r="R64" s="15">
        <v>0</v>
      </c>
      <c r="S64" s="118">
        <v>20000</v>
      </c>
      <c r="T64" s="157">
        <f>S64-Q64</f>
        <v>0</v>
      </c>
      <c r="U64" s="16">
        <f>S64/Q64-1</f>
        <v>0</v>
      </c>
      <c r="Y64" s="118">
        <v>35000</v>
      </c>
      <c r="AA64" s="118">
        <v>35000</v>
      </c>
      <c r="AB64" s="185">
        <f t="shared" si="180"/>
        <v>0</v>
      </c>
      <c r="AC64" s="187">
        <f t="shared" si="144"/>
        <v>0</v>
      </c>
      <c r="AD64" s="187"/>
      <c r="AE64" s="118">
        <v>35000</v>
      </c>
      <c r="AF64" s="182"/>
      <c r="AH64" s="15">
        <v>35000</v>
      </c>
      <c r="AI64" s="17">
        <f t="shared" si="178"/>
        <v>1</v>
      </c>
      <c r="AK64" s="118">
        <v>10000</v>
      </c>
      <c r="AS64" s="15">
        <f t="shared" si="179"/>
        <v>10000</v>
      </c>
      <c r="AV64" s="15">
        <f t="shared" si="145"/>
        <v>10000</v>
      </c>
      <c r="AX64" s="15"/>
      <c r="AY64" s="15">
        <f t="shared" si="146"/>
        <v>10000</v>
      </c>
      <c r="BA64" s="227">
        <v>-10000</v>
      </c>
      <c r="BB64" s="15">
        <f t="shared" si="147"/>
        <v>0</v>
      </c>
      <c r="BD64" s="15"/>
      <c r="BE64" s="15">
        <f t="shared" si="148"/>
        <v>0</v>
      </c>
      <c r="BG64" s="15">
        <v>4000</v>
      </c>
      <c r="BH64" s="15">
        <f t="shared" si="149"/>
        <v>4000</v>
      </c>
      <c r="BJ64" s="15">
        <v>4000</v>
      </c>
      <c r="BK64" s="235">
        <f t="shared" si="150"/>
        <v>1</v>
      </c>
      <c r="BM64" s="15">
        <v>15000</v>
      </c>
      <c r="BN64" s="235">
        <f t="shared" si="151"/>
        <v>3.75</v>
      </c>
      <c r="BO64" s="235">
        <f t="shared" si="152"/>
        <v>3.75</v>
      </c>
      <c r="BQ64" s="15"/>
      <c r="BR64" s="15">
        <f>BM64+BQ64</f>
        <v>15000</v>
      </c>
      <c r="BT64" s="15"/>
      <c r="BU64" s="15">
        <f>BR64+BT64</f>
        <v>15000</v>
      </c>
      <c r="BW64" s="15"/>
      <c r="BX64" s="15">
        <f>BU64+BW64</f>
        <v>15000</v>
      </c>
      <c r="BZ64" s="15"/>
      <c r="CA64" s="15">
        <f>BX64+BZ64</f>
        <v>15000</v>
      </c>
      <c r="CC64" s="15"/>
      <c r="CD64" s="15">
        <f>CA64+CC64</f>
        <v>15000</v>
      </c>
      <c r="CF64" s="15"/>
      <c r="CG64" s="15">
        <f>CD64+CF64</f>
        <v>15000</v>
      </c>
      <c r="CI64" s="15"/>
      <c r="CJ64" s="15">
        <f>CG64+CI64</f>
        <v>15000</v>
      </c>
      <c r="CL64" s="15">
        <v>5000</v>
      </c>
      <c r="CM64" s="15">
        <f>CJ64+CL64</f>
        <v>20000</v>
      </c>
      <c r="CO64" s="15">
        <v>5500</v>
      </c>
      <c r="CP64" s="15">
        <f t="shared" si="153"/>
        <v>25500</v>
      </c>
      <c r="CS64" s="15">
        <f t="shared" si="154"/>
        <v>25500</v>
      </c>
      <c r="CV64" s="15">
        <f t="shared" si="155"/>
        <v>25500</v>
      </c>
      <c r="CY64" s="15">
        <f t="shared" si="156"/>
        <v>25500</v>
      </c>
      <c r="DA64" s="15">
        <v>25200</v>
      </c>
      <c r="DC64" s="15">
        <v>25000</v>
      </c>
      <c r="DE64" s="15"/>
      <c r="DF64" s="15">
        <f t="shared" si="157"/>
        <v>25000</v>
      </c>
      <c r="DH64" s="15"/>
      <c r="DI64" s="15">
        <f t="shared" si="158"/>
        <v>25000</v>
      </c>
      <c r="DK64" s="15"/>
      <c r="DL64" s="15">
        <f t="shared" si="159"/>
        <v>25000</v>
      </c>
      <c r="DN64" s="15"/>
      <c r="DO64" s="15">
        <f t="shared" si="160"/>
        <v>25000</v>
      </c>
      <c r="DQ64" s="15"/>
      <c r="DR64" s="15">
        <f t="shared" si="161"/>
        <v>25000</v>
      </c>
      <c r="DT64" s="15"/>
      <c r="DU64" s="15">
        <f t="shared" si="162"/>
        <v>25000</v>
      </c>
      <c r="DW64" s="15"/>
      <c r="DX64" s="15">
        <f t="shared" si="163"/>
        <v>25000</v>
      </c>
      <c r="DZ64" s="15"/>
      <c r="EA64" s="15">
        <f t="shared" si="164"/>
        <v>25000</v>
      </c>
      <c r="EC64" s="15"/>
      <c r="ED64" s="15">
        <f t="shared" si="165"/>
        <v>25000</v>
      </c>
      <c r="EF64" s="227">
        <v>-2000</v>
      </c>
      <c r="EG64" s="15">
        <f t="shared" si="166"/>
        <v>23000</v>
      </c>
      <c r="EI64" s="15">
        <v>22224</v>
      </c>
      <c r="EK64" s="15">
        <v>23000</v>
      </c>
      <c r="EM64" s="15"/>
      <c r="EN64" s="15">
        <f t="shared" si="167"/>
        <v>23000</v>
      </c>
      <c r="EP64" s="15"/>
      <c r="EQ64" s="15">
        <f t="shared" si="168"/>
        <v>23000</v>
      </c>
      <c r="ES64" s="15"/>
      <c r="ET64" s="15">
        <f t="shared" si="169"/>
        <v>23000</v>
      </c>
      <c r="EW64" s="15">
        <f t="shared" si="170"/>
        <v>23000</v>
      </c>
      <c r="EZ64" s="15">
        <f t="shared" si="171"/>
        <v>23000</v>
      </c>
      <c r="FC64" s="15">
        <f t="shared" si="172"/>
        <v>23000</v>
      </c>
      <c r="FF64" s="15">
        <f t="shared" si="173"/>
        <v>23000</v>
      </c>
      <c r="FI64" s="15">
        <f t="shared" si="174"/>
        <v>23000</v>
      </c>
      <c r="FL64" s="15">
        <f t="shared" si="175"/>
        <v>23000</v>
      </c>
      <c r="FN64" s="227">
        <v>4000</v>
      </c>
      <c r="FO64" s="15">
        <f t="shared" si="181"/>
        <v>27000</v>
      </c>
      <c r="FR64" s="15">
        <v>27000</v>
      </c>
      <c r="FT64" s="15">
        <v>26132</v>
      </c>
      <c r="FV64" s="15">
        <v>12000</v>
      </c>
      <c r="FW64" s="235">
        <f t="shared" si="177"/>
        <v>0.45920710240318385</v>
      </c>
    </row>
    <row r="65" spans="1:179" outlineLevel="1">
      <c r="A65" s="1" t="s">
        <v>141</v>
      </c>
      <c r="B65" s="1" t="s">
        <v>199</v>
      </c>
      <c r="C65" s="4" t="s">
        <v>200</v>
      </c>
      <c r="D65" s="43"/>
      <c r="E65" s="34"/>
      <c r="F65" s="43"/>
      <c r="G65" s="34"/>
      <c r="H65" s="46"/>
      <c r="I65" s="36"/>
      <c r="J65" s="14"/>
      <c r="M65" s="17"/>
      <c r="N65" s="17"/>
      <c r="T65" s="157"/>
      <c r="U65" s="16"/>
      <c r="Y65" s="118"/>
      <c r="AB65" s="185"/>
      <c r="AC65" s="187"/>
      <c r="AD65" s="187"/>
      <c r="AF65" s="182"/>
      <c r="AH65" s="15"/>
      <c r="AI65" s="17"/>
      <c r="AS65" s="15"/>
      <c r="AV65" s="15"/>
      <c r="AX65" s="15"/>
      <c r="AY65" s="15"/>
      <c r="BA65" s="227"/>
      <c r="BB65" s="15"/>
      <c r="BD65" s="15"/>
      <c r="BE65" s="15"/>
      <c r="BG65" s="15"/>
      <c r="BH65" s="15"/>
      <c r="BK65" s="235"/>
      <c r="BM65" s="15"/>
      <c r="BN65" s="235"/>
      <c r="BO65" s="235"/>
      <c r="BQ65" s="15"/>
      <c r="BR65" s="15"/>
      <c r="BT65" s="15"/>
      <c r="BU65" s="15"/>
      <c r="BW65" s="15"/>
      <c r="BX65" s="15"/>
      <c r="BZ65" s="15"/>
      <c r="CA65" s="15"/>
      <c r="CC65" s="15"/>
      <c r="CD65" s="15"/>
      <c r="CF65" s="15"/>
      <c r="CG65" s="15"/>
      <c r="CI65" s="15"/>
      <c r="CJ65" s="15"/>
      <c r="CM65" s="15"/>
      <c r="CO65" s="15">
        <v>50300</v>
      </c>
      <c r="CP65" s="15">
        <f t="shared" si="153"/>
        <v>50300</v>
      </c>
      <c r="CS65" s="15">
        <f t="shared" si="154"/>
        <v>50300</v>
      </c>
      <c r="CV65" s="15">
        <f t="shared" si="155"/>
        <v>50300</v>
      </c>
      <c r="CY65" s="15">
        <f t="shared" si="156"/>
        <v>50300</v>
      </c>
      <c r="DA65" s="15">
        <v>50203</v>
      </c>
      <c r="DC65" s="15">
        <v>0</v>
      </c>
      <c r="DE65" s="15"/>
      <c r="DF65" s="15"/>
      <c r="DH65" s="15"/>
      <c r="DI65" s="15"/>
      <c r="DK65" s="15"/>
      <c r="DL65" s="15"/>
      <c r="DN65" s="15"/>
      <c r="DO65" s="15"/>
      <c r="DQ65" s="15"/>
      <c r="DR65" s="15"/>
      <c r="DT65" s="15"/>
      <c r="DU65" s="15"/>
      <c r="DW65" s="15"/>
      <c r="DX65" s="15"/>
      <c r="DZ65" s="15"/>
      <c r="EA65" s="15"/>
      <c r="EC65" s="15"/>
      <c r="ED65" s="15"/>
      <c r="EF65" s="15"/>
      <c r="EG65" s="15"/>
      <c r="EK65" s="15"/>
      <c r="EM65" s="15"/>
      <c r="EN65" s="15"/>
      <c r="EP65" s="15"/>
      <c r="EQ65" s="15"/>
      <c r="ES65" s="15"/>
      <c r="ET65" s="15"/>
      <c r="EW65" s="15"/>
      <c r="EZ65" s="15"/>
      <c r="FC65" s="15"/>
      <c r="FF65" s="15"/>
      <c r="FI65" s="15"/>
      <c r="FL65" s="15"/>
      <c r="FO65" s="15"/>
      <c r="FR65" s="15"/>
    </row>
    <row r="66" spans="1:179" outlineLevel="1">
      <c r="A66" s="1" t="s">
        <v>141</v>
      </c>
      <c r="B66" s="4" t="s">
        <v>46</v>
      </c>
      <c r="C66" s="4" t="s">
        <v>154</v>
      </c>
      <c r="D66" s="43">
        <v>86000</v>
      </c>
      <c r="E66" s="34">
        <v>80.540000000000006</v>
      </c>
      <c r="F66" s="43">
        <v>112836</v>
      </c>
      <c r="G66" s="34">
        <v>61.39</v>
      </c>
      <c r="H66" s="46">
        <v>69265</v>
      </c>
      <c r="I66" s="36"/>
      <c r="J66" s="14"/>
      <c r="Y66" s="118"/>
      <c r="AF66" s="182"/>
      <c r="AH66" s="15"/>
      <c r="AX66" s="15"/>
      <c r="BD66" s="15"/>
      <c r="BG66" s="15"/>
      <c r="DE66" s="15"/>
      <c r="DH66" s="15"/>
      <c r="DK66" s="15"/>
      <c r="DN66" s="15"/>
      <c r="DQ66" s="15"/>
      <c r="DT66" s="15"/>
      <c r="DW66" s="15"/>
      <c r="DZ66" s="15"/>
      <c r="EC66" s="15"/>
      <c r="EF66" s="15"/>
      <c r="EK66" s="15"/>
      <c r="EM66" s="15"/>
      <c r="EP66" s="15"/>
      <c r="ES66" s="15"/>
    </row>
    <row r="67" spans="1:179" outlineLevel="1">
      <c r="A67" s="1" t="s">
        <v>155</v>
      </c>
      <c r="B67" s="4" t="s">
        <v>48</v>
      </c>
      <c r="C67" s="4" t="s">
        <v>156</v>
      </c>
      <c r="D67" s="43">
        <v>86000</v>
      </c>
      <c r="E67" s="34">
        <v>80.540000000000006</v>
      </c>
      <c r="F67" s="43">
        <v>112836</v>
      </c>
      <c r="G67" s="34">
        <v>61.39</v>
      </c>
      <c r="H67" s="46">
        <v>69265</v>
      </c>
      <c r="I67" s="36"/>
      <c r="J67" s="14"/>
      <c r="Y67" s="118"/>
      <c r="AF67" s="182"/>
      <c r="AH67" s="15"/>
      <c r="AX67" s="15"/>
      <c r="BD67" s="15"/>
      <c r="BG67" s="15"/>
      <c r="DE67" s="15"/>
      <c r="DH67" s="15"/>
      <c r="DK67" s="15"/>
      <c r="DN67" s="15"/>
      <c r="DQ67" s="15"/>
      <c r="DT67" s="15"/>
      <c r="DW67" s="15"/>
      <c r="DZ67" s="15"/>
      <c r="EC67" s="15"/>
      <c r="EF67" s="15"/>
      <c r="EK67" s="15"/>
      <c r="EM67" s="15"/>
      <c r="EP67" s="15"/>
      <c r="ES67" s="15"/>
    </row>
    <row r="68" spans="1:179" ht="16.5" customHeight="1" thickBot="1">
      <c r="A68" s="54" t="s">
        <v>141</v>
      </c>
      <c r="B68" s="55" t="s">
        <v>316</v>
      </c>
      <c r="C68" s="55" t="s">
        <v>320</v>
      </c>
      <c r="D68" s="57">
        <f>SUM(D56:D64)</f>
        <v>86000</v>
      </c>
      <c r="E68" s="58"/>
      <c r="F68" s="57">
        <f>SUM(F56:F64)</f>
        <v>112836</v>
      </c>
      <c r="G68" s="58"/>
      <c r="H68" s="57"/>
      <c r="I68" s="57">
        <f>SUM(I56:I64)</f>
        <v>96136</v>
      </c>
      <c r="J68" s="138" t="e">
        <f>I68/$I$332</f>
        <v>#REF!</v>
      </c>
      <c r="K68" s="60"/>
      <c r="L68" s="122">
        <f>SUM(L56:L64)</f>
        <v>79000</v>
      </c>
      <c r="M68" s="61">
        <f>L68/F68-1</f>
        <v>-0.29986883618703253</v>
      </c>
      <c r="N68" s="61">
        <f>L68/I68-1</f>
        <v>-0.17824748273279523</v>
      </c>
      <c r="O68" s="17">
        <f>L68/$L$332</f>
        <v>1.8329466697530706E-2</v>
      </c>
      <c r="P68" s="17"/>
      <c r="Q68" s="122">
        <f>SUM(Q56:Q64)</f>
        <v>79000</v>
      </c>
      <c r="R68" s="122">
        <f>SUM(R56:R64)</f>
        <v>8352</v>
      </c>
      <c r="S68" s="122">
        <f>SUM(S56:S64)</f>
        <v>34040</v>
      </c>
      <c r="T68" s="122">
        <f>SUM(T56:T64)</f>
        <v>-44960</v>
      </c>
      <c r="U68" s="155">
        <f t="shared" ref="U68:U87" si="182">S68/Q68-1</f>
        <v>-0.56911392405063288</v>
      </c>
      <c r="Y68" s="122">
        <f>SUM(Y56:Y64)</f>
        <v>50940</v>
      </c>
      <c r="AA68" s="122">
        <f>SUM(AA56:AA64)</f>
        <v>46240</v>
      </c>
      <c r="AB68" s="122">
        <f>SUM(AB56:AB64)</f>
        <v>-4700</v>
      </c>
      <c r="AE68" s="122">
        <f>SUM(AE56:AE64)</f>
        <v>46540</v>
      </c>
      <c r="AF68" s="182"/>
      <c r="AH68" s="122">
        <f>SUM(AH56:AH64)</f>
        <v>45971</v>
      </c>
      <c r="AI68" s="17">
        <f t="shared" ref="AI68:AI87" si="183">AH68/AE68</f>
        <v>0.98777395788568978</v>
      </c>
      <c r="AK68" s="122">
        <f>SUM(AK56:AK64)</f>
        <v>24000</v>
      </c>
      <c r="AL68" s="193">
        <f>AK68/L68</f>
        <v>0.30379746835443039</v>
      </c>
      <c r="AM68" s="17">
        <f>AK68/AE68</f>
        <v>0.51568543188654925</v>
      </c>
      <c r="AN68" s="17">
        <f>AK68/AH68</f>
        <v>0.52206826042505061</v>
      </c>
      <c r="AS68" s="122">
        <f>SUM(AS56:AS64)</f>
        <v>24000</v>
      </c>
      <c r="AU68" s="122">
        <f>SUM(AU56:AU64)</f>
        <v>0</v>
      </c>
      <c r="AV68" s="122">
        <f>SUM(AV56:AV64)</f>
        <v>24000</v>
      </c>
      <c r="AX68" s="122">
        <f>SUM(AX56:AX64)</f>
        <v>0</v>
      </c>
      <c r="AY68" s="122">
        <f>SUM(AY56:AY64)</f>
        <v>24000</v>
      </c>
      <c r="BA68" s="122">
        <f>SUM(BA56:BA64)</f>
        <v>-9000</v>
      </c>
      <c r="BB68" s="122">
        <f>SUM(BB56:BB64)</f>
        <v>19000</v>
      </c>
      <c r="BD68" s="122">
        <f>SUM(BD56:BD64)</f>
        <v>700</v>
      </c>
      <c r="BE68" s="122">
        <f>SUM(BE56:BE64)</f>
        <v>19700</v>
      </c>
      <c r="BG68" s="122">
        <f>SUM(BG56:BG64)</f>
        <v>4000</v>
      </c>
      <c r="BH68" s="122">
        <f>SUM(BH56:BH64)</f>
        <v>23700</v>
      </c>
      <c r="BJ68" s="122">
        <f>SUM(BJ56:BJ64)</f>
        <v>20011.43</v>
      </c>
      <c r="BK68" s="236">
        <f t="shared" ref="BK68" si="184">BJ68/BH68</f>
        <v>0.84436413502109708</v>
      </c>
      <c r="BM68" s="122">
        <f>SUM(BM56:BM64)</f>
        <v>33200</v>
      </c>
      <c r="BN68" s="236">
        <f t="shared" ref="BN68" si="185">BM68/BJ68</f>
        <v>1.6590518518666582</v>
      </c>
      <c r="BO68" s="236">
        <f t="shared" ref="BO68" si="186">BM68/BH68</f>
        <v>1.4008438818565401</v>
      </c>
      <c r="BQ68" s="122">
        <f>SUM(BQ56:BQ64)</f>
        <v>0</v>
      </c>
      <c r="BR68" s="122">
        <f>SUM(BR56:BR64)</f>
        <v>33200</v>
      </c>
      <c r="BT68" s="122">
        <f>SUM(BT56:BT64)</f>
        <v>10000</v>
      </c>
      <c r="BU68" s="122">
        <f>SUM(BU56:BU64)</f>
        <v>43200</v>
      </c>
      <c r="BW68" s="122">
        <f>SUM(BW56:BW64)</f>
        <v>0</v>
      </c>
      <c r="BX68" s="122">
        <f>SUM(BX56:BX64)</f>
        <v>43200</v>
      </c>
      <c r="BZ68" s="122">
        <f>SUM(BZ56:BZ64)</f>
        <v>0</v>
      </c>
      <c r="CA68" s="122">
        <f>SUM(CA56:CA64)</f>
        <v>43200</v>
      </c>
      <c r="CC68" s="122">
        <f>SUM(CC56:CC64)</f>
        <v>0</v>
      </c>
      <c r="CD68" s="122">
        <f>SUM(CD56:CD64)</f>
        <v>43200</v>
      </c>
      <c r="CF68" s="122">
        <f>SUM(CF56:CF64)</f>
        <v>1000</v>
      </c>
      <c r="CG68" s="122">
        <f>SUM(CG56:CG64)</f>
        <v>44200</v>
      </c>
      <c r="CI68" s="122">
        <f>SUM(CI56:CI64)</f>
        <v>0</v>
      </c>
      <c r="CJ68" s="122">
        <f>SUM(CJ56:CJ64)</f>
        <v>44200</v>
      </c>
      <c r="CL68" s="319">
        <f>SUM(CL56:CL64)</f>
        <v>12000</v>
      </c>
      <c r="CM68" s="122">
        <f>SUM(CM56:CM64)</f>
        <v>56200</v>
      </c>
      <c r="CO68" s="122">
        <f>SUM(CO56:CO64)</f>
        <v>15500</v>
      </c>
      <c r="CP68" s="122">
        <f>SUM(CP56:CP64)</f>
        <v>71700</v>
      </c>
      <c r="CR68" s="122">
        <f>SUM(CR56:CR64)</f>
        <v>0</v>
      </c>
      <c r="CS68" s="122">
        <f>SUM(CS56:CS64)</f>
        <v>71700</v>
      </c>
      <c r="CU68" s="122">
        <f>SUM(CU56:CU64)</f>
        <v>-9200</v>
      </c>
      <c r="CV68" s="122">
        <f>SUM(CV56:CV64)</f>
        <v>62500</v>
      </c>
      <c r="CX68" s="122">
        <f>SUM(CX56:CX64)</f>
        <v>0</v>
      </c>
      <c r="CY68" s="122">
        <f>SUM(CY56:CY64)</f>
        <v>62500</v>
      </c>
      <c r="DA68" s="122">
        <f>SUM(DA56:DA64)</f>
        <v>62077.39</v>
      </c>
      <c r="DC68" s="122">
        <f>SUM(DC56:DC64)</f>
        <v>70000</v>
      </c>
      <c r="DE68" s="122">
        <f>SUM(DE56:DE64)</f>
        <v>0</v>
      </c>
      <c r="DF68" s="122">
        <f>SUM(DF56:DF64)</f>
        <v>70000</v>
      </c>
      <c r="DH68" s="122">
        <f>SUM(DH56:DH64)</f>
        <v>8500</v>
      </c>
      <c r="DI68" s="122">
        <f>SUM(DI56:DI64)</f>
        <v>78500</v>
      </c>
      <c r="DK68" s="122">
        <f>SUM(DK56:DK64)</f>
        <v>0</v>
      </c>
      <c r="DL68" s="122">
        <f>SUM(DL56:DL64)</f>
        <v>78500</v>
      </c>
      <c r="DN68" s="122">
        <f>SUM(DN56:DN64)</f>
        <v>0</v>
      </c>
      <c r="DO68" s="122">
        <f>SUM(DO56:DO64)</f>
        <v>78500</v>
      </c>
      <c r="DQ68" s="122">
        <f>SUM(DQ56:DQ64)</f>
        <v>0</v>
      </c>
      <c r="DR68" s="122">
        <f>SUM(DR56:DR64)</f>
        <v>78500</v>
      </c>
      <c r="DT68" s="122">
        <f>SUM(DT56:DT64)</f>
        <v>0</v>
      </c>
      <c r="DU68" s="122">
        <f>SUM(DU56:DU64)</f>
        <v>78500</v>
      </c>
      <c r="DW68" s="122">
        <f>SUM(DW56:DW64)</f>
        <v>0</v>
      </c>
      <c r="DX68" s="122">
        <f>SUM(DX56:DX64)</f>
        <v>78500</v>
      </c>
      <c r="DZ68" s="122">
        <f>SUM(DZ56:DZ64)</f>
        <v>0</v>
      </c>
      <c r="EA68" s="122">
        <f>SUM(EA56:EA64)</f>
        <v>78500</v>
      </c>
      <c r="EC68" s="122">
        <f>SUM(EC56:EC64)</f>
        <v>0</v>
      </c>
      <c r="ED68" s="122">
        <f>SUM(ED56:ED64)</f>
        <v>78500</v>
      </c>
      <c r="EF68" s="122">
        <f>SUM(EF56:EF64)</f>
        <v>-14000</v>
      </c>
      <c r="EG68" s="122">
        <f>SUM(EG56:EG64)</f>
        <v>64500</v>
      </c>
      <c r="EI68" s="122">
        <f>SUM(EI56:EI64)</f>
        <v>61627</v>
      </c>
      <c r="EK68" s="122">
        <f>SUM(EK56:EK64)</f>
        <v>63000</v>
      </c>
      <c r="EL68" s="377">
        <f>EK68/EI68-1</f>
        <v>2.2279195807032526E-2</v>
      </c>
      <c r="EM68" s="122">
        <f>SUM(EM56:EM64)</f>
        <v>0</v>
      </c>
      <c r="EN68" s="122">
        <f>SUM(EN56:EN64)</f>
        <v>63000</v>
      </c>
      <c r="EP68" s="122">
        <f>SUM(EP56:EP64)</f>
        <v>3000</v>
      </c>
      <c r="EQ68" s="122">
        <f>SUM(EQ56:EQ64)</f>
        <v>66000</v>
      </c>
      <c r="ES68" s="122">
        <f>SUM(ES56:ES64)</f>
        <v>0</v>
      </c>
      <c r="ET68" s="122">
        <f>SUM(ET56:ET64)</f>
        <v>66000</v>
      </c>
      <c r="EV68" s="122">
        <f>SUM(EV56:EV64)</f>
        <v>0</v>
      </c>
      <c r="EW68" s="122">
        <f>SUM(EW56:EW64)</f>
        <v>66000</v>
      </c>
      <c r="EY68" s="122">
        <f>SUM(EY56:EY64)</f>
        <v>0</v>
      </c>
      <c r="EZ68" s="122">
        <f>SUM(EZ56:EZ64)</f>
        <v>66000</v>
      </c>
      <c r="FB68" s="122">
        <f>SUM(FB56:FB64)</f>
        <v>0</v>
      </c>
      <c r="FC68" s="122">
        <f>SUM(FC56:FC64)</f>
        <v>66000</v>
      </c>
      <c r="FE68" s="122">
        <f>SUM(FE56:FE64)</f>
        <v>0</v>
      </c>
      <c r="FF68" s="122">
        <f>SUM(FF56:FF64)</f>
        <v>66000</v>
      </c>
      <c r="FH68" s="122">
        <f>SUM(FH56:FH64)</f>
        <v>0</v>
      </c>
      <c r="FI68" s="122">
        <f>SUM(FI56:FI64)</f>
        <v>66000</v>
      </c>
      <c r="FK68" s="122">
        <f>SUM(FK56:FK64)</f>
        <v>0</v>
      </c>
      <c r="FL68" s="122">
        <f>SUM(FL56:FL64)</f>
        <v>66000</v>
      </c>
      <c r="FN68" s="122">
        <f>SUM(FN56:FN64)</f>
        <v>4000</v>
      </c>
      <c r="FO68" s="122">
        <f>SUM(FO56:FO64)</f>
        <v>70000</v>
      </c>
      <c r="FQ68" s="122">
        <v>-4500</v>
      </c>
      <c r="FR68" s="122">
        <v>65500</v>
      </c>
      <c r="FT68" s="122">
        <f>SUM(FT56:FT64)</f>
        <v>58195.6</v>
      </c>
      <c r="FV68" s="122">
        <f>SUM(FV56:FV64)</f>
        <v>51000</v>
      </c>
      <c r="FW68" s="235">
        <f t="shared" ref="FW68:FW69" si="187">FV68/FT68</f>
        <v>0.87635491342988137</v>
      </c>
    </row>
    <row r="69" spans="1:179" ht="15" customHeight="1" thickTop="1" thickBot="1">
      <c r="A69" s="75" t="s">
        <v>141</v>
      </c>
      <c r="B69" s="76" t="s">
        <v>277</v>
      </c>
      <c r="C69" s="285" t="s">
        <v>320</v>
      </c>
      <c r="D69" s="323"/>
      <c r="E69" s="324"/>
      <c r="F69" s="323"/>
      <c r="G69" s="324"/>
      <c r="H69" s="323"/>
      <c r="I69" s="323"/>
      <c r="J69" s="325"/>
      <c r="K69" s="326"/>
      <c r="L69" s="327"/>
      <c r="M69" s="328"/>
      <c r="N69" s="328"/>
      <c r="O69" s="17"/>
      <c r="P69" s="17"/>
      <c r="Q69" s="327"/>
      <c r="R69" s="327"/>
      <c r="S69" s="327"/>
      <c r="T69" s="327"/>
      <c r="U69" s="155"/>
      <c r="Y69" s="327"/>
      <c r="AA69" s="327"/>
      <c r="AB69" s="327"/>
      <c r="AE69" s="327"/>
      <c r="AF69" s="182"/>
      <c r="AH69" s="327"/>
      <c r="AI69" s="17"/>
      <c r="AK69" s="327"/>
      <c r="AL69" s="193"/>
      <c r="AM69" s="17"/>
      <c r="AN69" s="17"/>
      <c r="AS69" s="327"/>
      <c r="AU69" s="327"/>
      <c r="AV69" s="327"/>
      <c r="AX69" s="327"/>
      <c r="AY69" s="327"/>
      <c r="BA69" s="327"/>
      <c r="BB69" s="327"/>
      <c r="BD69" s="327"/>
      <c r="BE69" s="327"/>
      <c r="BG69" s="327"/>
      <c r="BH69" s="327"/>
      <c r="BJ69" s="327"/>
      <c r="BK69" s="329"/>
      <c r="BM69" s="327"/>
      <c r="BN69" s="329"/>
      <c r="BO69" s="329"/>
      <c r="BQ69" s="327"/>
      <c r="BR69" s="327"/>
      <c r="BT69" s="327"/>
      <c r="BU69" s="327"/>
      <c r="BW69" s="327"/>
      <c r="BX69" s="327"/>
      <c r="BZ69" s="327"/>
      <c r="CA69" s="327"/>
      <c r="CC69" s="327"/>
      <c r="CD69" s="327"/>
      <c r="CF69" s="327"/>
      <c r="CG69" s="327"/>
      <c r="CI69" s="330"/>
      <c r="CJ69" s="330"/>
      <c r="CL69" s="121"/>
      <c r="CM69" s="331"/>
      <c r="CO69" s="331">
        <f>CO65</f>
        <v>50300</v>
      </c>
      <c r="CP69" s="331">
        <f>CP65</f>
        <v>50300</v>
      </c>
      <c r="CR69" s="331">
        <f>CR65</f>
        <v>0</v>
      </c>
      <c r="CS69" s="331">
        <f>CS65</f>
        <v>50300</v>
      </c>
      <c r="CU69" s="331">
        <f>CU65</f>
        <v>0</v>
      </c>
      <c r="CV69" s="331">
        <f>CV65</f>
        <v>50300</v>
      </c>
      <c r="CX69" s="331">
        <f>CX65</f>
        <v>0</v>
      </c>
      <c r="CY69" s="331">
        <f>CY65</f>
        <v>50300</v>
      </c>
      <c r="DA69" s="331">
        <f>DA65</f>
        <v>50203</v>
      </c>
      <c r="DC69" s="331">
        <f>DC65</f>
        <v>0</v>
      </c>
      <c r="DE69" s="331">
        <f>DE65</f>
        <v>0</v>
      </c>
      <c r="DF69" s="331">
        <f>DF65</f>
        <v>0</v>
      </c>
      <c r="DH69" s="331">
        <f>DH65</f>
        <v>0</v>
      </c>
      <c r="DI69" s="331">
        <f>DI65</f>
        <v>0</v>
      </c>
      <c r="DK69" s="331">
        <f>DK65</f>
        <v>0</v>
      </c>
      <c r="DL69" s="331">
        <f>DL65</f>
        <v>0</v>
      </c>
      <c r="DN69" s="331">
        <f>DN65</f>
        <v>0</v>
      </c>
      <c r="DO69" s="331">
        <f>DO65</f>
        <v>0</v>
      </c>
      <c r="DQ69" s="331">
        <f>DQ65</f>
        <v>0</v>
      </c>
      <c r="DR69" s="331">
        <f>DR65</f>
        <v>0</v>
      </c>
      <c r="DT69" s="331">
        <f>DT65</f>
        <v>0</v>
      </c>
      <c r="DU69" s="331">
        <f>DU65</f>
        <v>0</v>
      </c>
      <c r="DW69" s="331">
        <f>DW65</f>
        <v>0</v>
      </c>
      <c r="DX69" s="331">
        <f>DX65</f>
        <v>0</v>
      </c>
      <c r="DZ69" s="331">
        <f>DZ65</f>
        <v>0</v>
      </c>
      <c r="EA69" s="331">
        <f>EA65</f>
        <v>0</v>
      </c>
      <c r="EC69" s="331">
        <f>EC65</f>
        <v>0</v>
      </c>
      <c r="ED69" s="331">
        <f>ED65</f>
        <v>0</v>
      </c>
      <c r="EF69" s="331">
        <f>EF65</f>
        <v>0</v>
      </c>
      <c r="EG69" s="331">
        <f>EG65</f>
        <v>0</v>
      </c>
      <c r="EI69" s="331">
        <f>EI65</f>
        <v>0</v>
      </c>
      <c r="EK69" s="331">
        <f>EK65</f>
        <v>0</v>
      </c>
      <c r="EM69" s="331">
        <f>EM65</f>
        <v>0</v>
      </c>
      <c r="EN69" s="331">
        <f>EN65</f>
        <v>0</v>
      </c>
      <c r="EP69" s="331">
        <f>EP65</f>
        <v>0</v>
      </c>
      <c r="EQ69" s="331">
        <f>EQ65</f>
        <v>0</v>
      </c>
      <c r="ES69" s="331">
        <f>ES65</f>
        <v>0</v>
      </c>
      <c r="ET69" s="331">
        <f>ET65</f>
        <v>0</v>
      </c>
      <c r="EV69" s="331">
        <f>EV65</f>
        <v>0</v>
      </c>
      <c r="EW69" s="331">
        <f>EW65</f>
        <v>0</v>
      </c>
      <c r="EY69" s="331">
        <f>EY65</f>
        <v>0</v>
      </c>
      <c r="EZ69" s="331">
        <f>EZ65</f>
        <v>0</v>
      </c>
      <c r="FB69" s="331">
        <f>FB65</f>
        <v>0</v>
      </c>
      <c r="FC69" s="331">
        <f>FC65</f>
        <v>0</v>
      </c>
      <c r="FE69" s="331">
        <f>FE65</f>
        <v>0</v>
      </c>
      <c r="FF69" s="331">
        <f>FF65</f>
        <v>0</v>
      </c>
      <c r="FH69" s="331">
        <f>FH65</f>
        <v>0</v>
      </c>
      <c r="FI69" s="331">
        <f>FI65</f>
        <v>0</v>
      </c>
      <c r="FK69" s="331">
        <f>FK65</f>
        <v>0</v>
      </c>
      <c r="FL69" s="331">
        <f>FL65</f>
        <v>0</v>
      </c>
      <c r="FN69" s="331">
        <f>FN65</f>
        <v>0</v>
      </c>
      <c r="FO69" s="331">
        <f>FO65</f>
        <v>0</v>
      </c>
      <c r="FQ69" s="331">
        <v>0</v>
      </c>
      <c r="FR69" s="331">
        <v>0</v>
      </c>
      <c r="FT69" s="331">
        <f>FT65</f>
        <v>0</v>
      </c>
      <c r="FV69" s="331">
        <f>FV65</f>
        <v>0</v>
      </c>
      <c r="FW69" s="235" t="e">
        <f t="shared" si="187"/>
        <v>#DIV/0!</v>
      </c>
    </row>
    <row r="70" spans="1:179" ht="15.75" outlineLevel="1" thickTop="1">
      <c r="A70" s="12">
        <v>3314</v>
      </c>
      <c r="B70" s="38" t="s">
        <v>142</v>
      </c>
      <c r="C70" s="37" t="s">
        <v>143</v>
      </c>
      <c r="I70" s="36">
        <v>0</v>
      </c>
      <c r="J70" s="14"/>
      <c r="K70" t="s">
        <v>332</v>
      </c>
      <c r="L70" s="118">
        <f>12*'[2]2020'!$D$27+450</f>
        <v>7999.920000000001</v>
      </c>
      <c r="M70" s="17" t="e">
        <f t="shared" ref="M70:M79" si="188">L70/F70-1</f>
        <v>#DIV/0!</v>
      </c>
      <c r="N70" s="17" t="e">
        <f t="shared" ref="N70:N79" si="189">L70/I70-1</f>
        <v>#DIV/0!</v>
      </c>
      <c r="Q70" s="118">
        <v>8000</v>
      </c>
      <c r="R70" s="15">
        <v>3206</v>
      </c>
      <c r="S70" s="118">
        <v>6700</v>
      </c>
      <c r="T70" s="157">
        <f t="shared" ref="T70:T79" si="190">S70-Q70</f>
        <v>-1300</v>
      </c>
      <c r="U70" s="16">
        <f t="shared" si="182"/>
        <v>-0.16249999999999998</v>
      </c>
      <c r="Y70" s="118">
        <v>6700</v>
      </c>
      <c r="AA70" s="118">
        <v>6000</v>
      </c>
      <c r="AB70" s="185">
        <f>AA70-Y70</f>
        <v>-700</v>
      </c>
      <c r="AC70" s="187">
        <f t="shared" ref="AC70:AC79" si="191">AA70-Y70</f>
        <v>-700</v>
      </c>
      <c r="AD70" s="187"/>
      <c r="AE70" s="118">
        <v>6000</v>
      </c>
      <c r="AF70" s="182"/>
      <c r="AH70" s="15">
        <v>5762</v>
      </c>
      <c r="AI70" s="17">
        <f t="shared" si="183"/>
        <v>0.96033333333333337</v>
      </c>
      <c r="AK70" s="118">
        <v>10300</v>
      </c>
      <c r="AS70" s="15">
        <f t="shared" ref="AS70:AS78" si="192">AR70+AK70</f>
        <v>10300</v>
      </c>
      <c r="AV70" s="15">
        <f t="shared" ref="AV70:AV78" si="193">AS70+AU70</f>
        <v>10300</v>
      </c>
      <c r="AX70" s="15"/>
      <c r="AY70" s="15">
        <f t="shared" ref="AY70:AY78" si="194">AV70+AX70</f>
        <v>10300</v>
      </c>
      <c r="BB70" s="15">
        <f t="shared" ref="BB70:BB78" si="195">AY70+BA70</f>
        <v>10300</v>
      </c>
      <c r="BD70" s="15"/>
      <c r="BE70" s="15">
        <f t="shared" ref="BE70:BE78" si="196">BB70+BD70</f>
        <v>10300</v>
      </c>
      <c r="BG70" s="15"/>
      <c r="BH70" s="15">
        <f t="shared" ref="BH70:BH78" si="197">BE70+BG70</f>
        <v>10300</v>
      </c>
      <c r="BJ70" s="15">
        <v>10224</v>
      </c>
      <c r="BK70" s="235">
        <f t="shared" ref="BK70:BK78" si="198">BJ70/BH70</f>
        <v>0.99262135922330097</v>
      </c>
      <c r="BM70" s="15">
        <v>11300</v>
      </c>
      <c r="BN70" s="235">
        <f t="shared" ref="BN70:BN78" si="199">BM70/BJ70</f>
        <v>1.1052425665101722</v>
      </c>
      <c r="BO70" s="235">
        <f t="shared" ref="BO70:BO78" si="200">BM70/BH70</f>
        <v>1.0970873786407767</v>
      </c>
      <c r="BQ70" s="15"/>
      <c r="BR70" s="15">
        <f t="shared" ref="BR70:BR78" si="201">BM70+BQ70</f>
        <v>11300</v>
      </c>
      <c r="BT70" s="15"/>
      <c r="BU70" s="15">
        <f t="shared" ref="BU70:BU78" si="202">BR70+BT70</f>
        <v>11300</v>
      </c>
      <c r="BW70" s="15"/>
      <c r="BX70" s="15">
        <f t="shared" ref="BX70:BX78" si="203">BU70+BW70</f>
        <v>11300</v>
      </c>
      <c r="BZ70" s="15"/>
      <c r="CA70" s="15">
        <f t="shared" ref="CA70:CA78" si="204">BX70+BZ70</f>
        <v>11300</v>
      </c>
      <c r="CC70" s="15"/>
      <c r="CD70" s="15">
        <f t="shared" ref="CD70:CD78" si="205">CA70+CC70</f>
        <v>11300</v>
      </c>
      <c r="CF70" s="15"/>
      <c r="CG70" s="15">
        <f t="shared" ref="CG70:CG78" si="206">CD70+CF70</f>
        <v>11300</v>
      </c>
      <c r="CI70" s="15"/>
      <c r="CJ70" s="15">
        <f t="shared" ref="CJ70:CJ78" si="207">CG70+CI70</f>
        <v>11300</v>
      </c>
      <c r="CM70" s="15">
        <f t="shared" ref="CM70:CM78" si="208">CJ70+CL70</f>
        <v>11300</v>
      </c>
      <c r="CP70" s="15">
        <f t="shared" ref="CP70:CP78" si="209">CM70+CO70</f>
        <v>11300</v>
      </c>
      <c r="CS70" s="15">
        <f t="shared" ref="CS70:CS78" si="210">CP70+CR70</f>
        <v>11300</v>
      </c>
      <c r="CV70" s="15">
        <f t="shared" ref="CV70:CV78" si="211">CS70+CU70</f>
        <v>11300</v>
      </c>
      <c r="CY70" s="15">
        <f t="shared" ref="CY70:CY78" si="212">CV70+CX70</f>
        <v>11300</v>
      </c>
      <c r="DA70" s="15">
        <v>11192</v>
      </c>
      <c r="DC70" s="15">
        <v>11300</v>
      </c>
      <c r="DE70" s="15"/>
      <c r="DF70" s="15">
        <f t="shared" ref="DF70:DF78" si="213">DC70+DE70</f>
        <v>11300</v>
      </c>
      <c r="DH70" s="15"/>
      <c r="DI70" s="15">
        <f t="shared" ref="DI70:DI78" si="214">DF70+DH70</f>
        <v>11300</v>
      </c>
      <c r="DK70" s="15"/>
      <c r="DL70" s="15">
        <f t="shared" ref="DL70:DL78" si="215">DI70+DK70</f>
        <v>11300</v>
      </c>
      <c r="DN70" s="15"/>
      <c r="DO70" s="15">
        <f t="shared" ref="DO70:DO78" si="216">DL70+DN70</f>
        <v>11300</v>
      </c>
      <c r="DQ70" s="15"/>
      <c r="DR70" s="15">
        <f t="shared" ref="DR70:DR78" si="217">DO70+DQ70</f>
        <v>11300</v>
      </c>
      <c r="DT70" s="15"/>
      <c r="DU70" s="15">
        <f t="shared" ref="DU70:DU78" si="218">DR70+DT70</f>
        <v>11300</v>
      </c>
      <c r="DW70" s="15"/>
      <c r="DX70" s="15">
        <f t="shared" ref="DX70:DX78" si="219">DU70+DW70</f>
        <v>11300</v>
      </c>
      <c r="DZ70" s="15"/>
      <c r="EA70" s="15">
        <f t="shared" ref="EA70:EA78" si="220">DX70+DZ70</f>
        <v>11300</v>
      </c>
      <c r="EC70" s="227">
        <v>1900</v>
      </c>
      <c r="ED70" s="15">
        <f t="shared" ref="ED70:ED78" si="221">EA70+EC70</f>
        <v>13200</v>
      </c>
      <c r="EF70" s="15"/>
      <c r="EG70" s="15">
        <f t="shared" ref="EG70:EG78" si="222">ED70+EF70</f>
        <v>13200</v>
      </c>
      <c r="EI70" s="15">
        <v>13160</v>
      </c>
      <c r="EK70" s="15">
        <f>12200+2540</f>
        <v>14740</v>
      </c>
      <c r="EM70" s="15"/>
      <c r="EN70" s="15">
        <f t="shared" ref="EN70:EN78" si="223">EK70+EM70</f>
        <v>14740</v>
      </c>
      <c r="EP70" s="15"/>
      <c r="EQ70" s="15">
        <f t="shared" ref="EQ70:EQ78" si="224">EN70+EP70</f>
        <v>14740</v>
      </c>
      <c r="ES70" s="15"/>
      <c r="ET70" s="15">
        <f t="shared" ref="ET70:ET78" si="225">EQ70+ES70</f>
        <v>14740</v>
      </c>
      <c r="EW70" s="15">
        <f t="shared" ref="EW70:EW78" si="226">ET70+EV70</f>
        <v>14740</v>
      </c>
      <c r="EZ70" s="15">
        <f t="shared" ref="EZ70:EZ78" si="227">EW70+EY70</f>
        <v>14740</v>
      </c>
      <c r="FC70" s="15">
        <f t="shared" ref="FC70:FC78" si="228">EZ70+FB70</f>
        <v>14740</v>
      </c>
      <c r="FF70" s="15">
        <f t="shared" ref="FF70:FF78" si="229">FC70+FE70</f>
        <v>14740</v>
      </c>
      <c r="FI70" s="15">
        <f t="shared" ref="FI70:FI78" si="230">FF70+FH70</f>
        <v>14740</v>
      </c>
      <c r="FK70" s="227">
        <v>-3000</v>
      </c>
      <c r="FL70" s="15">
        <f t="shared" ref="FL70:FL78" si="231">FI70+FK70</f>
        <v>11740</v>
      </c>
      <c r="FO70" s="15">
        <f t="shared" ref="FO70:FO78" si="232">FL70+FN70</f>
        <v>11740</v>
      </c>
      <c r="FQ70" s="227">
        <v>-640</v>
      </c>
      <c r="FR70" s="15">
        <v>11100</v>
      </c>
      <c r="FT70" s="15">
        <v>11090</v>
      </c>
      <c r="FV70" s="15">
        <f>12*1400+3500</f>
        <v>20300</v>
      </c>
      <c r="FW70" s="235">
        <f t="shared" ref="FW70:FW71" si="233">FV70/FT70</f>
        <v>1.830477908025248</v>
      </c>
    </row>
    <row r="71" spans="1:179" outlineLevel="1">
      <c r="A71" s="12">
        <v>3314</v>
      </c>
      <c r="B71" s="38" t="s">
        <v>144</v>
      </c>
      <c r="C71" s="37" t="s">
        <v>145</v>
      </c>
      <c r="I71" s="36"/>
      <c r="J71" s="14"/>
      <c r="L71" s="118">
        <v>4000</v>
      </c>
      <c r="M71" s="17" t="e">
        <f t="shared" si="188"/>
        <v>#DIV/0!</v>
      </c>
      <c r="N71" s="17" t="e">
        <f t="shared" si="189"/>
        <v>#DIV/0!</v>
      </c>
      <c r="Q71" s="118">
        <v>4000</v>
      </c>
      <c r="R71" s="15">
        <v>0</v>
      </c>
      <c r="S71" s="118">
        <v>3000</v>
      </c>
      <c r="T71" s="157">
        <f t="shared" si="190"/>
        <v>-1000</v>
      </c>
      <c r="U71" s="16">
        <f t="shared" si="182"/>
        <v>-0.25</v>
      </c>
      <c r="Y71" s="118">
        <v>3000</v>
      </c>
      <c r="AA71" s="118">
        <v>3000</v>
      </c>
      <c r="AB71" s="185">
        <f t="shared" ref="AB71:AB79" si="234">AA71-Y71</f>
        <v>0</v>
      </c>
      <c r="AC71" s="187">
        <f t="shared" si="191"/>
        <v>0</v>
      </c>
      <c r="AD71" s="187"/>
      <c r="AE71" s="118">
        <v>3000</v>
      </c>
      <c r="AF71" s="182"/>
      <c r="AH71" s="15">
        <v>0</v>
      </c>
      <c r="AI71" s="17">
        <f t="shared" si="183"/>
        <v>0</v>
      </c>
      <c r="AK71" s="118">
        <v>3000</v>
      </c>
      <c r="AS71" s="15">
        <f t="shared" si="192"/>
        <v>3000</v>
      </c>
      <c r="AV71" s="15">
        <f t="shared" si="193"/>
        <v>3000</v>
      </c>
      <c r="AX71" s="15"/>
      <c r="AY71" s="15">
        <f t="shared" si="194"/>
        <v>3000</v>
      </c>
      <c r="BB71" s="15">
        <f t="shared" si="195"/>
        <v>3000</v>
      </c>
      <c r="BD71" s="15"/>
      <c r="BE71" s="15">
        <f t="shared" si="196"/>
        <v>3000</v>
      </c>
      <c r="BG71" s="15"/>
      <c r="BH71" s="15">
        <f t="shared" si="197"/>
        <v>3000</v>
      </c>
      <c r="BJ71" s="15">
        <v>2871.75</v>
      </c>
      <c r="BK71" s="235">
        <f t="shared" si="198"/>
        <v>0.95725000000000005</v>
      </c>
      <c r="BM71" s="15">
        <v>4000</v>
      </c>
      <c r="BN71" s="235">
        <f t="shared" si="199"/>
        <v>1.3928789065900584</v>
      </c>
      <c r="BO71" s="235">
        <f t="shared" si="200"/>
        <v>1.3333333333333333</v>
      </c>
      <c r="BQ71" s="15"/>
      <c r="BR71" s="15">
        <f t="shared" si="201"/>
        <v>4000</v>
      </c>
      <c r="BT71" s="15"/>
      <c r="BU71" s="15">
        <f t="shared" si="202"/>
        <v>4000</v>
      </c>
      <c r="BW71" s="15"/>
      <c r="BX71" s="15">
        <f t="shared" si="203"/>
        <v>4000</v>
      </c>
      <c r="BZ71" s="15"/>
      <c r="CA71" s="15">
        <f t="shared" si="204"/>
        <v>4000</v>
      </c>
      <c r="CC71" s="15"/>
      <c r="CD71" s="15">
        <f t="shared" si="205"/>
        <v>4000</v>
      </c>
      <c r="CF71" s="15"/>
      <c r="CG71" s="15">
        <f t="shared" si="206"/>
        <v>4000</v>
      </c>
      <c r="CI71" s="15"/>
      <c r="CJ71" s="15">
        <f t="shared" si="207"/>
        <v>4000</v>
      </c>
      <c r="CM71" s="15">
        <f t="shared" si="208"/>
        <v>4000</v>
      </c>
      <c r="CP71" s="15">
        <f t="shared" si="209"/>
        <v>4000</v>
      </c>
      <c r="CS71" s="15">
        <f t="shared" si="210"/>
        <v>4000</v>
      </c>
      <c r="CV71" s="15">
        <f t="shared" si="211"/>
        <v>4000</v>
      </c>
      <c r="CY71" s="15">
        <f t="shared" si="212"/>
        <v>4000</v>
      </c>
      <c r="DA71" s="15">
        <v>3951.5</v>
      </c>
      <c r="DC71" s="15">
        <v>4000</v>
      </c>
      <c r="DE71" s="15"/>
      <c r="DF71" s="15">
        <f t="shared" si="213"/>
        <v>4000</v>
      </c>
      <c r="DH71" s="15"/>
      <c r="DI71" s="15">
        <f t="shared" si="214"/>
        <v>4000</v>
      </c>
      <c r="DK71" s="15"/>
      <c r="DL71" s="15">
        <f t="shared" si="215"/>
        <v>4000</v>
      </c>
      <c r="DN71" s="15"/>
      <c r="DO71" s="15">
        <f t="shared" si="216"/>
        <v>4000</v>
      </c>
      <c r="DQ71" s="15"/>
      <c r="DR71" s="15">
        <f t="shared" si="217"/>
        <v>4000</v>
      </c>
      <c r="DT71" s="15"/>
      <c r="DU71" s="15">
        <f t="shared" si="218"/>
        <v>4000</v>
      </c>
      <c r="DW71" s="15"/>
      <c r="DX71" s="15">
        <f t="shared" si="219"/>
        <v>4000</v>
      </c>
      <c r="DZ71" s="15"/>
      <c r="EA71" s="15">
        <f t="shared" si="220"/>
        <v>4000</v>
      </c>
      <c r="EC71" s="15"/>
      <c r="ED71" s="15">
        <f t="shared" si="221"/>
        <v>4000</v>
      </c>
      <c r="EF71" s="227">
        <v>500</v>
      </c>
      <c r="EG71" s="15">
        <f t="shared" si="222"/>
        <v>4500</v>
      </c>
      <c r="EI71" s="15">
        <v>4104.8</v>
      </c>
      <c r="EK71" s="15">
        <v>5000</v>
      </c>
      <c r="EM71" s="15"/>
      <c r="EN71" s="15">
        <f t="shared" si="223"/>
        <v>5000</v>
      </c>
      <c r="EP71" s="15"/>
      <c r="EQ71" s="15">
        <f t="shared" si="224"/>
        <v>5000</v>
      </c>
      <c r="ES71" s="15"/>
      <c r="ET71" s="15">
        <f t="shared" si="225"/>
        <v>5000</v>
      </c>
      <c r="EW71" s="15">
        <f t="shared" si="226"/>
        <v>5000</v>
      </c>
      <c r="EZ71" s="15">
        <f t="shared" si="227"/>
        <v>5000</v>
      </c>
      <c r="FC71" s="15">
        <f t="shared" si="228"/>
        <v>5000</v>
      </c>
      <c r="FF71" s="15">
        <f t="shared" si="229"/>
        <v>5000</v>
      </c>
      <c r="FI71" s="15">
        <f t="shared" si="230"/>
        <v>5000</v>
      </c>
      <c r="FL71" s="15">
        <f t="shared" si="231"/>
        <v>5000</v>
      </c>
      <c r="FO71" s="15">
        <f t="shared" si="232"/>
        <v>5000</v>
      </c>
      <c r="FQ71" s="227">
        <v>80</v>
      </c>
      <c r="FR71" s="15">
        <v>5080</v>
      </c>
      <c r="FT71" s="15">
        <v>5070.75</v>
      </c>
      <c r="FV71" s="15">
        <v>5000</v>
      </c>
      <c r="FW71" s="235">
        <f t="shared" si="233"/>
        <v>0.98604742888132924</v>
      </c>
    </row>
    <row r="72" spans="1:179" outlineLevel="1">
      <c r="A72" s="12">
        <v>3314</v>
      </c>
      <c r="B72" s="1" t="s">
        <v>146</v>
      </c>
      <c r="C72" s="4" t="s">
        <v>147</v>
      </c>
      <c r="I72" s="36"/>
      <c r="J72" s="14"/>
      <c r="L72" s="118">
        <v>1000</v>
      </c>
      <c r="M72" s="17" t="e">
        <f t="shared" si="188"/>
        <v>#DIV/0!</v>
      </c>
      <c r="N72" s="17" t="e">
        <f t="shared" si="189"/>
        <v>#DIV/0!</v>
      </c>
      <c r="Q72" s="118">
        <v>1000</v>
      </c>
      <c r="R72" s="15">
        <v>757</v>
      </c>
      <c r="S72" s="118">
        <v>1500</v>
      </c>
      <c r="T72" s="157">
        <f t="shared" si="190"/>
        <v>500</v>
      </c>
      <c r="U72" s="16">
        <f t="shared" si="182"/>
        <v>0.5</v>
      </c>
      <c r="Y72" s="118">
        <v>1500</v>
      </c>
      <c r="AA72" s="118">
        <v>800</v>
      </c>
      <c r="AB72" s="185">
        <f t="shared" si="234"/>
        <v>-700</v>
      </c>
      <c r="AC72" s="187">
        <f t="shared" si="191"/>
        <v>-700</v>
      </c>
      <c r="AD72" s="187"/>
      <c r="AE72" s="118">
        <v>800</v>
      </c>
      <c r="AF72" s="182"/>
      <c r="AH72" s="15">
        <v>757</v>
      </c>
      <c r="AI72" s="17">
        <f t="shared" si="183"/>
        <v>0.94625000000000004</v>
      </c>
      <c r="AK72" s="118">
        <v>1000</v>
      </c>
      <c r="AS72" s="15">
        <f t="shared" si="192"/>
        <v>1000</v>
      </c>
      <c r="AV72" s="15">
        <f t="shared" si="193"/>
        <v>1000</v>
      </c>
      <c r="AX72" s="15"/>
      <c r="AY72" s="15">
        <f t="shared" si="194"/>
        <v>1000</v>
      </c>
      <c r="BB72" s="15">
        <f t="shared" si="195"/>
        <v>1000</v>
      </c>
      <c r="BD72" s="15"/>
      <c r="BE72" s="15">
        <f t="shared" si="196"/>
        <v>1000</v>
      </c>
      <c r="BG72" s="15">
        <v>-1000</v>
      </c>
      <c r="BH72" s="15">
        <f t="shared" si="197"/>
        <v>0</v>
      </c>
      <c r="BJ72" s="15">
        <v>0</v>
      </c>
      <c r="BK72" s="235" t="e">
        <f t="shared" si="198"/>
        <v>#DIV/0!</v>
      </c>
      <c r="BM72" s="15">
        <v>0</v>
      </c>
      <c r="BN72" s="235" t="e">
        <f t="shared" si="199"/>
        <v>#DIV/0!</v>
      </c>
      <c r="BO72" s="235" t="e">
        <f t="shared" si="200"/>
        <v>#DIV/0!</v>
      </c>
      <c r="BQ72" s="15"/>
      <c r="BR72" s="15">
        <f t="shared" si="201"/>
        <v>0</v>
      </c>
      <c r="BT72" s="15"/>
      <c r="BU72" s="15">
        <f t="shared" si="202"/>
        <v>0</v>
      </c>
      <c r="BW72" s="15"/>
      <c r="BX72" s="15">
        <f t="shared" si="203"/>
        <v>0</v>
      </c>
      <c r="BZ72" s="15"/>
      <c r="CA72" s="15">
        <f t="shared" si="204"/>
        <v>0</v>
      </c>
      <c r="CC72" s="15"/>
      <c r="CD72" s="15">
        <f t="shared" si="205"/>
        <v>0</v>
      </c>
      <c r="CF72" s="15"/>
      <c r="CG72" s="15">
        <f t="shared" si="206"/>
        <v>0</v>
      </c>
      <c r="CI72" s="15"/>
      <c r="CJ72" s="15">
        <f t="shared" si="207"/>
        <v>0</v>
      </c>
      <c r="CM72" s="15">
        <f t="shared" si="208"/>
        <v>0</v>
      </c>
      <c r="CP72" s="15">
        <f t="shared" si="209"/>
        <v>0</v>
      </c>
      <c r="CS72" s="15">
        <f t="shared" si="210"/>
        <v>0</v>
      </c>
      <c r="CV72" s="15">
        <f t="shared" si="211"/>
        <v>0</v>
      </c>
      <c r="CY72" s="15">
        <f t="shared" si="212"/>
        <v>0</v>
      </c>
      <c r="DA72" s="15">
        <v>0</v>
      </c>
      <c r="DE72" s="15"/>
      <c r="DF72" s="15">
        <f t="shared" si="213"/>
        <v>0</v>
      </c>
      <c r="DH72" s="15"/>
      <c r="DI72" s="15">
        <f t="shared" si="214"/>
        <v>0</v>
      </c>
      <c r="DK72" s="15"/>
      <c r="DL72" s="15">
        <f t="shared" si="215"/>
        <v>0</v>
      </c>
      <c r="DN72" s="15"/>
      <c r="DO72" s="15">
        <f t="shared" si="216"/>
        <v>0</v>
      </c>
      <c r="DQ72" s="15"/>
      <c r="DR72" s="15">
        <f t="shared" si="217"/>
        <v>0</v>
      </c>
      <c r="DT72" s="227">
        <v>700</v>
      </c>
      <c r="DU72" s="15">
        <f t="shared" si="218"/>
        <v>700</v>
      </c>
      <c r="DW72" s="15"/>
      <c r="DX72" s="15">
        <f t="shared" si="219"/>
        <v>700</v>
      </c>
      <c r="DZ72" s="15"/>
      <c r="EA72" s="15">
        <f t="shared" si="220"/>
        <v>700</v>
      </c>
      <c r="EC72" s="15"/>
      <c r="ED72" s="15">
        <f t="shared" si="221"/>
        <v>700</v>
      </c>
      <c r="EF72" s="15"/>
      <c r="EG72" s="15">
        <f t="shared" si="222"/>
        <v>700</v>
      </c>
      <c r="EI72" s="15">
        <v>635</v>
      </c>
      <c r="EK72" s="15">
        <v>0</v>
      </c>
      <c r="EM72" s="15"/>
      <c r="EN72" s="15">
        <f t="shared" si="223"/>
        <v>0</v>
      </c>
      <c r="EP72" s="15"/>
      <c r="EQ72" s="15">
        <f t="shared" si="224"/>
        <v>0</v>
      </c>
      <c r="ES72" s="15"/>
      <c r="ET72" s="15">
        <f t="shared" si="225"/>
        <v>0</v>
      </c>
      <c r="EW72" s="15">
        <f t="shared" si="226"/>
        <v>0</v>
      </c>
      <c r="EZ72" s="15">
        <f t="shared" si="227"/>
        <v>0</v>
      </c>
      <c r="FC72" s="15">
        <f t="shared" si="228"/>
        <v>0</v>
      </c>
      <c r="FF72" s="15">
        <f t="shared" si="229"/>
        <v>0</v>
      </c>
      <c r="FI72" s="15">
        <f t="shared" si="230"/>
        <v>0</v>
      </c>
      <c r="FL72" s="15">
        <f t="shared" si="231"/>
        <v>0</v>
      </c>
      <c r="FO72" s="15">
        <f t="shared" si="232"/>
        <v>0</v>
      </c>
      <c r="FR72" s="15">
        <v>0</v>
      </c>
    </row>
    <row r="73" spans="1:179" outlineLevel="1">
      <c r="A73" s="12">
        <v>3314</v>
      </c>
      <c r="B73" s="38" t="s">
        <v>157</v>
      </c>
      <c r="C73" s="37" t="s">
        <v>158</v>
      </c>
      <c r="I73" s="36"/>
      <c r="J73" s="14"/>
      <c r="K73" t="s">
        <v>332</v>
      </c>
      <c r="L73" s="118">
        <v>1000</v>
      </c>
      <c r="M73" s="17" t="e">
        <f t="shared" si="188"/>
        <v>#DIV/0!</v>
      </c>
      <c r="N73" s="17" t="e">
        <f t="shared" si="189"/>
        <v>#DIV/0!</v>
      </c>
      <c r="Q73" s="118">
        <v>1000</v>
      </c>
      <c r="R73" s="15">
        <v>60</v>
      </c>
      <c r="S73" s="118">
        <v>450</v>
      </c>
      <c r="T73" s="157">
        <f t="shared" si="190"/>
        <v>-550</v>
      </c>
      <c r="U73" s="16">
        <f t="shared" si="182"/>
        <v>-0.55000000000000004</v>
      </c>
      <c r="Y73" s="118">
        <v>450</v>
      </c>
      <c r="AA73" s="118">
        <v>400</v>
      </c>
      <c r="AB73" s="185">
        <f t="shared" si="234"/>
        <v>-50</v>
      </c>
      <c r="AC73" s="187">
        <f t="shared" si="191"/>
        <v>-50</v>
      </c>
      <c r="AD73" s="187"/>
      <c r="AE73" s="118">
        <v>400</v>
      </c>
      <c r="AF73" s="182"/>
      <c r="AH73" s="15">
        <v>243.6</v>
      </c>
      <c r="AI73" s="17">
        <f t="shared" si="183"/>
        <v>0.60899999999999999</v>
      </c>
      <c r="AK73" s="118">
        <v>400</v>
      </c>
      <c r="AS73" s="15">
        <f t="shared" si="192"/>
        <v>400</v>
      </c>
      <c r="AV73" s="15">
        <f t="shared" si="193"/>
        <v>400</v>
      </c>
      <c r="AX73" s="15"/>
      <c r="AY73" s="15">
        <f t="shared" si="194"/>
        <v>400</v>
      </c>
      <c r="BB73" s="15">
        <f t="shared" si="195"/>
        <v>400</v>
      </c>
      <c r="BD73" s="15"/>
      <c r="BE73" s="15">
        <f t="shared" si="196"/>
        <v>400</v>
      </c>
      <c r="BG73" s="15"/>
      <c r="BH73" s="15">
        <f t="shared" si="197"/>
        <v>400</v>
      </c>
      <c r="BJ73" s="15">
        <v>384</v>
      </c>
      <c r="BK73" s="235">
        <f t="shared" si="198"/>
        <v>0.96</v>
      </c>
      <c r="BM73" s="15">
        <f>2*85+230</f>
        <v>400</v>
      </c>
      <c r="BN73" s="235">
        <f t="shared" si="199"/>
        <v>1.0416666666666667</v>
      </c>
      <c r="BO73" s="235">
        <f t="shared" si="200"/>
        <v>1</v>
      </c>
      <c r="BQ73" s="15"/>
      <c r="BR73" s="15">
        <f t="shared" si="201"/>
        <v>400</v>
      </c>
      <c r="BT73" s="15"/>
      <c r="BU73" s="15">
        <f t="shared" si="202"/>
        <v>400</v>
      </c>
      <c r="BW73" s="15"/>
      <c r="BX73" s="15">
        <f t="shared" si="203"/>
        <v>400</v>
      </c>
      <c r="BZ73" s="15"/>
      <c r="CA73" s="15">
        <f t="shared" si="204"/>
        <v>400</v>
      </c>
      <c r="CC73" s="15"/>
      <c r="CD73" s="15">
        <f t="shared" si="205"/>
        <v>400</v>
      </c>
      <c r="CF73" s="15"/>
      <c r="CG73" s="15">
        <f t="shared" si="206"/>
        <v>400</v>
      </c>
      <c r="CI73" s="15"/>
      <c r="CJ73" s="15">
        <f t="shared" si="207"/>
        <v>400</v>
      </c>
      <c r="CM73" s="15">
        <f t="shared" si="208"/>
        <v>400</v>
      </c>
      <c r="CP73" s="15">
        <f t="shared" si="209"/>
        <v>400</v>
      </c>
      <c r="CS73" s="15">
        <f t="shared" si="210"/>
        <v>400</v>
      </c>
      <c r="CV73" s="15">
        <f t="shared" si="211"/>
        <v>400</v>
      </c>
      <c r="CY73" s="15">
        <f t="shared" si="212"/>
        <v>400</v>
      </c>
      <c r="DA73" s="15">
        <v>133</v>
      </c>
      <c r="DC73" s="15">
        <v>300</v>
      </c>
      <c r="DE73" s="227">
        <v>100</v>
      </c>
      <c r="DF73" s="15">
        <f t="shared" si="213"/>
        <v>400</v>
      </c>
      <c r="DH73" s="15"/>
      <c r="DI73" s="15">
        <f t="shared" si="214"/>
        <v>400</v>
      </c>
      <c r="DK73" s="15"/>
      <c r="DL73" s="15">
        <f t="shared" si="215"/>
        <v>400</v>
      </c>
      <c r="DN73" s="15"/>
      <c r="DO73" s="15">
        <f t="shared" si="216"/>
        <v>400</v>
      </c>
      <c r="DQ73" s="15"/>
      <c r="DR73" s="15">
        <f t="shared" si="217"/>
        <v>400</v>
      </c>
      <c r="DT73" s="227">
        <v>100</v>
      </c>
      <c r="DU73" s="15">
        <f t="shared" si="218"/>
        <v>500</v>
      </c>
      <c r="DW73" s="15"/>
      <c r="DX73" s="15">
        <f t="shared" si="219"/>
        <v>500</v>
      </c>
      <c r="DZ73" s="15"/>
      <c r="EA73" s="15">
        <f t="shared" si="220"/>
        <v>500</v>
      </c>
      <c r="EC73" s="227">
        <v>-150</v>
      </c>
      <c r="ED73" s="15">
        <f t="shared" si="221"/>
        <v>350</v>
      </c>
      <c r="EF73" s="15"/>
      <c r="EG73" s="15">
        <f t="shared" si="222"/>
        <v>350</v>
      </c>
      <c r="EI73" s="15">
        <v>343.52</v>
      </c>
      <c r="EK73" s="15">
        <v>400</v>
      </c>
      <c r="EM73" s="15"/>
      <c r="EN73" s="15">
        <f t="shared" si="223"/>
        <v>400</v>
      </c>
      <c r="EP73" s="15"/>
      <c r="EQ73" s="15">
        <f t="shared" si="224"/>
        <v>400</v>
      </c>
      <c r="ES73" s="15"/>
      <c r="ET73" s="15">
        <f t="shared" si="225"/>
        <v>400</v>
      </c>
      <c r="EW73" s="15">
        <f t="shared" si="226"/>
        <v>400</v>
      </c>
      <c r="EZ73" s="15">
        <f t="shared" si="227"/>
        <v>400</v>
      </c>
      <c r="FC73" s="15">
        <f t="shared" si="228"/>
        <v>400</v>
      </c>
      <c r="FF73" s="15">
        <f t="shared" si="229"/>
        <v>400</v>
      </c>
      <c r="FI73" s="15">
        <f t="shared" si="230"/>
        <v>400</v>
      </c>
      <c r="FL73" s="15">
        <f t="shared" si="231"/>
        <v>400</v>
      </c>
      <c r="FN73" s="227">
        <v>100</v>
      </c>
      <c r="FO73" s="15">
        <f t="shared" si="232"/>
        <v>500</v>
      </c>
      <c r="FQ73" s="227">
        <v>130</v>
      </c>
      <c r="FR73" s="15">
        <v>630</v>
      </c>
      <c r="FT73" s="15">
        <v>622.4</v>
      </c>
      <c r="FV73" s="15">
        <v>1000</v>
      </c>
    </row>
    <row r="74" spans="1:179" outlineLevel="1">
      <c r="A74" s="12">
        <v>3314</v>
      </c>
      <c r="B74" s="38" t="s">
        <v>159</v>
      </c>
      <c r="C74" s="37" t="s">
        <v>160</v>
      </c>
      <c r="I74" s="36"/>
      <c r="J74" s="14"/>
      <c r="K74" t="s">
        <v>332</v>
      </c>
      <c r="L74" s="118">
        <v>24800</v>
      </c>
      <c r="M74" s="17" t="e">
        <f t="shared" si="188"/>
        <v>#DIV/0!</v>
      </c>
      <c r="N74" s="17" t="e">
        <f t="shared" si="189"/>
        <v>#DIV/0!</v>
      </c>
      <c r="Q74" s="118">
        <v>23000</v>
      </c>
      <c r="R74" s="15">
        <v>9870</v>
      </c>
      <c r="S74" s="118">
        <v>20000</v>
      </c>
      <c r="T74" s="15">
        <f t="shared" si="190"/>
        <v>-3000</v>
      </c>
      <c r="U74" s="16">
        <f t="shared" si="182"/>
        <v>-0.13043478260869568</v>
      </c>
      <c r="V74" s="140">
        <v>23000</v>
      </c>
      <c r="W74">
        <v>-1800</v>
      </c>
      <c r="Y74" s="118">
        <v>20000</v>
      </c>
      <c r="AA74" s="118">
        <v>22000</v>
      </c>
      <c r="AB74" s="185">
        <f t="shared" si="234"/>
        <v>2000</v>
      </c>
      <c r="AC74" s="187">
        <f t="shared" si="191"/>
        <v>2000</v>
      </c>
      <c r="AD74" s="187"/>
      <c r="AE74" s="118">
        <v>24500</v>
      </c>
      <c r="AF74" s="182">
        <f>AE74-AA74</f>
        <v>2500</v>
      </c>
      <c r="AH74" s="15">
        <v>24469.4</v>
      </c>
      <c r="AI74" s="17">
        <f t="shared" si="183"/>
        <v>0.99875102040816333</v>
      </c>
      <c r="AK74" s="118">
        <v>25000</v>
      </c>
      <c r="AS74" s="15">
        <f t="shared" si="192"/>
        <v>25000</v>
      </c>
      <c r="AV74" s="15">
        <f t="shared" si="193"/>
        <v>25000</v>
      </c>
      <c r="AX74" s="15"/>
      <c r="AY74" s="15">
        <f t="shared" si="194"/>
        <v>25000</v>
      </c>
      <c r="BB74" s="15">
        <f t="shared" si="195"/>
        <v>25000</v>
      </c>
      <c r="BD74" s="15">
        <v>3000</v>
      </c>
      <c r="BE74" s="15">
        <f t="shared" si="196"/>
        <v>28000</v>
      </c>
      <c r="BG74" s="15">
        <v>500</v>
      </c>
      <c r="BH74" s="15">
        <f t="shared" si="197"/>
        <v>28500</v>
      </c>
      <c r="BJ74" s="15">
        <v>28038.6</v>
      </c>
      <c r="BK74" s="235">
        <f t="shared" si="198"/>
        <v>0.98381052631578947</v>
      </c>
      <c r="BM74" s="196">
        <f>12*6300</f>
        <v>75600</v>
      </c>
      <c r="BN74" s="235">
        <f t="shared" si="199"/>
        <v>2.6962829813186109</v>
      </c>
      <c r="BO74" s="235">
        <f t="shared" si="200"/>
        <v>2.6526315789473682</v>
      </c>
      <c r="BQ74" s="15"/>
      <c r="BR74" s="15">
        <f t="shared" si="201"/>
        <v>75600</v>
      </c>
      <c r="BT74" s="15"/>
      <c r="BU74" s="15">
        <f t="shared" si="202"/>
        <v>75600</v>
      </c>
      <c r="BW74" s="15"/>
      <c r="BX74" s="15">
        <f t="shared" si="203"/>
        <v>75600</v>
      </c>
      <c r="BZ74" s="15"/>
      <c r="CA74" s="15">
        <f t="shared" si="204"/>
        <v>75600</v>
      </c>
      <c r="CC74" s="15"/>
      <c r="CD74" s="15">
        <f t="shared" si="205"/>
        <v>75600</v>
      </c>
      <c r="CF74" s="15"/>
      <c r="CG74" s="15">
        <f t="shared" si="206"/>
        <v>75600</v>
      </c>
      <c r="CI74" s="15"/>
      <c r="CJ74" s="15">
        <f t="shared" si="207"/>
        <v>75600</v>
      </c>
      <c r="CM74" s="15">
        <f t="shared" si="208"/>
        <v>75600</v>
      </c>
      <c r="CP74" s="15">
        <f t="shared" si="209"/>
        <v>75600</v>
      </c>
      <c r="CS74" s="15">
        <f t="shared" si="210"/>
        <v>75600</v>
      </c>
      <c r="CU74" s="227">
        <v>7000</v>
      </c>
      <c r="CV74" s="15">
        <f t="shared" si="211"/>
        <v>82600</v>
      </c>
      <c r="CX74" s="227"/>
      <c r="CY74" s="15">
        <f t="shared" si="212"/>
        <v>82600</v>
      </c>
      <c r="DA74" s="15">
        <v>82478.87</v>
      </c>
      <c r="DC74" s="15">
        <v>80000</v>
      </c>
      <c r="DE74" s="227">
        <v>-100</v>
      </c>
      <c r="DF74" s="15">
        <f t="shared" si="213"/>
        <v>79900</v>
      </c>
      <c r="DH74" s="15"/>
      <c r="DI74" s="15">
        <f t="shared" si="214"/>
        <v>79900</v>
      </c>
      <c r="DK74" s="15"/>
      <c r="DL74" s="15">
        <f t="shared" si="215"/>
        <v>79900</v>
      </c>
      <c r="DN74" s="15"/>
      <c r="DO74" s="15">
        <f t="shared" si="216"/>
        <v>79900</v>
      </c>
      <c r="DQ74" s="15"/>
      <c r="DR74" s="15">
        <f t="shared" si="217"/>
        <v>79900</v>
      </c>
      <c r="DT74" s="15"/>
      <c r="DU74" s="15">
        <f t="shared" si="218"/>
        <v>79900</v>
      </c>
      <c r="DW74" s="15"/>
      <c r="DX74" s="15">
        <f t="shared" si="219"/>
        <v>79900</v>
      </c>
      <c r="DZ74" s="15"/>
      <c r="EA74" s="15">
        <f t="shared" si="220"/>
        <v>79900</v>
      </c>
      <c r="EC74" s="15"/>
      <c r="ED74" s="15">
        <f t="shared" si="221"/>
        <v>79900</v>
      </c>
      <c r="EF74" s="227">
        <v>1000</v>
      </c>
      <c r="EG74" s="15">
        <f t="shared" si="222"/>
        <v>80900</v>
      </c>
      <c r="EI74" s="15">
        <v>80897</v>
      </c>
      <c r="EK74" s="15">
        <v>82000</v>
      </c>
      <c r="EM74" s="15"/>
      <c r="EN74" s="15">
        <f t="shared" si="223"/>
        <v>82000</v>
      </c>
      <c r="EP74" s="15"/>
      <c r="EQ74" s="15">
        <f t="shared" si="224"/>
        <v>82000</v>
      </c>
      <c r="ES74" s="15"/>
      <c r="ET74" s="15">
        <f t="shared" si="225"/>
        <v>82000</v>
      </c>
      <c r="EW74" s="15">
        <f t="shared" si="226"/>
        <v>82000</v>
      </c>
      <c r="EZ74" s="15">
        <f t="shared" si="227"/>
        <v>82000</v>
      </c>
      <c r="FC74" s="15">
        <f t="shared" si="228"/>
        <v>82000</v>
      </c>
      <c r="FF74" s="15">
        <f t="shared" si="229"/>
        <v>82000</v>
      </c>
      <c r="FI74" s="15">
        <f t="shared" si="230"/>
        <v>82000</v>
      </c>
      <c r="FK74" s="227">
        <v>-7000</v>
      </c>
      <c r="FL74" s="15">
        <f t="shared" si="231"/>
        <v>75000</v>
      </c>
      <c r="FO74" s="15">
        <f t="shared" si="232"/>
        <v>75000</v>
      </c>
      <c r="FR74" s="15">
        <v>75000</v>
      </c>
      <c r="FT74" s="15">
        <v>74720.240000000005</v>
      </c>
      <c r="FV74" s="15">
        <v>75000</v>
      </c>
    </row>
    <row r="75" spans="1:179" outlineLevel="1">
      <c r="A75" s="12">
        <v>3314</v>
      </c>
      <c r="B75" s="38" t="s">
        <v>161</v>
      </c>
      <c r="C75" s="37" t="s">
        <v>162</v>
      </c>
      <c r="I75" s="36"/>
      <c r="J75" s="14"/>
      <c r="K75" t="s">
        <v>332</v>
      </c>
      <c r="L75" s="118">
        <v>5000</v>
      </c>
      <c r="M75" s="17" t="e">
        <f t="shared" si="188"/>
        <v>#DIV/0!</v>
      </c>
      <c r="N75" s="17" t="e">
        <f t="shared" si="189"/>
        <v>#DIV/0!</v>
      </c>
      <c r="Q75" s="118">
        <v>5000</v>
      </c>
      <c r="R75" s="15">
        <v>523</v>
      </c>
      <c r="S75" s="118">
        <v>4000</v>
      </c>
      <c r="T75" s="15">
        <f t="shared" si="190"/>
        <v>-1000</v>
      </c>
      <c r="U75" s="16">
        <f t="shared" si="182"/>
        <v>-0.19999999999999996</v>
      </c>
      <c r="Y75" s="118">
        <v>2500</v>
      </c>
      <c r="AA75" s="118">
        <v>2500</v>
      </c>
      <c r="AB75" s="185">
        <f t="shared" si="234"/>
        <v>0</v>
      </c>
      <c r="AC75" s="187">
        <f t="shared" si="191"/>
        <v>0</v>
      </c>
      <c r="AD75" s="187"/>
      <c r="AE75" s="118">
        <v>2500</v>
      </c>
      <c r="AF75" s="182"/>
      <c r="AH75" s="15">
        <v>1030.8</v>
      </c>
      <c r="AI75" s="17">
        <f t="shared" si="183"/>
        <v>0.41231999999999996</v>
      </c>
      <c r="AK75" s="118">
        <v>1200</v>
      </c>
      <c r="AS75" s="15">
        <f t="shared" si="192"/>
        <v>1200</v>
      </c>
      <c r="AV75" s="15">
        <f t="shared" si="193"/>
        <v>1200</v>
      </c>
      <c r="AX75" s="15"/>
      <c r="AY75" s="15">
        <f t="shared" si="194"/>
        <v>1200</v>
      </c>
      <c r="BB75" s="15">
        <f t="shared" si="195"/>
        <v>1200</v>
      </c>
      <c r="BD75" s="15">
        <v>2000</v>
      </c>
      <c r="BE75" s="15">
        <f t="shared" si="196"/>
        <v>3200</v>
      </c>
      <c r="BG75" s="15">
        <v>-1000</v>
      </c>
      <c r="BH75" s="15">
        <f t="shared" si="197"/>
        <v>2200</v>
      </c>
      <c r="BJ75" s="15">
        <v>974</v>
      </c>
      <c r="BK75" s="235">
        <f t="shared" si="198"/>
        <v>0.44272727272727275</v>
      </c>
      <c r="BM75" s="196">
        <f>12*150</f>
        <v>1800</v>
      </c>
      <c r="BN75" s="235">
        <f t="shared" si="199"/>
        <v>1.8480492813141685</v>
      </c>
      <c r="BO75" s="235">
        <f t="shared" si="200"/>
        <v>0.81818181818181823</v>
      </c>
      <c r="BQ75" s="15"/>
      <c r="BR75" s="15">
        <f t="shared" si="201"/>
        <v>1800</v>
      </c>
      <c r="BT75" s="15"/>
      <c r="BU75" s="15">
        <f t="shared" si="202"/>
        <v>1800</v>
      </c>
      <c r="BW75" s="15"/>
      <c r="BX75" s="15">
        <f t="shared" si="203"/>
        <v>1800</v>
      </c>
      <c r="BZ75" s="15"/>
      <c r="CA75" s="15">
        <f t="shared" si="204"/>
        <v>1800</v>
      </c>
      <c r="CC75" s="15"/>
      <c r="CD75" s="15">
        <f t="shared" si="205"/>
        <v>1800</v>
      </c>
      <c r="CF75" s="15"/>
      <c r="CG75" s="15">
        <f t="shared" si="206"/>
        <v>1800</v>
      </c>
      <c r="CI75" s="15"/>
      <c r="CJ75" s="15">
        <f t="shared" si="207"/>
        <v>1800</v>
      </c>
      <c r="CM75" s="15">
        <f t="shared" si="208"/>
        <v>1800</v>
      </c>
      <c r="CP75" s="15">
        <f t="shared" si="209"/>
        <v>1800</v>
      </c>
      <c r="CS75" s="15">
        <f t="shared" si="210"/>
        <v>1800</v>
      </c>
      <c r="CU75" s="227">
        <v>200</v>
      </c>
      <c r="CV75" s="15">
        <f t="shared" si="211"/>
        <v>2000</v>
      </c>
      <c r="CX75" s="227"/>
      <c r="CY75" s="15">
        <f t="shared" si="212"/>
        <v>2000</v>
      </c>
      <c r="DA75" s="15">
        <v>1930.05</v>
      </c>
      <c r="DC75" s="15">
        <v>2000</v>
      </c>
      <c r="DE75" s="15"/>
      <c r="DF75" s="15">
        <f t="shared" si="213"/>
        <v>2000</v>
      </c>
      <c r="DH75" s="15"/>
      <c r="DI75" s="15">
        <f t="shared" si="214"/>
        <v>2000</v>
      </c>
      <c r="DK75" s="15"/>
      <c r="DL75" s="15">
        <f t="shared" si="215"/>
        <v>2000</v>
      </c>
      <c r="DN75" s="15"/>
      <c r="DO75" s="15">
        <f t="shared" si="216"/>
        <v>2000</v>
      </c>
      <c r="DQ75" s="15"/>
      <c r="DR75" s="15">
        <f t="shared" si="217"/>
        <v>2000</v>
      </c>
      <c r="DT75" s="15"/>
      <c r="DU75" s="15">
        <f t="shared" si="218"/>
        <v>2000</v>
      </c>
      <c r="DW75" s="15"/>
      <c r="DX75" s="15">
        <f t="shared" si="219"/>
        <v>2000</v>
      </c>
      <c r="DZ75" s="15"/>
      <c r="EA75" s="15">
        <f t="shared" si="220"/>
        <v>2000</v>
      </c>
      <c r="EC75" s="15"/>
      <c r="ED75" s="15">
        <f t="shared" si="221"/>
        <v>2000</v>
      </c>
      <c r="EF75" s="15"/>
      <c r="EG75" s="15">
        <f t="shared" si="222"/>
        <v>2000</v>
      </c>
      <c r="EI75" s="15">
        <v>1322.8</v>
      </c>
      <c r="EK75" s="15">
        <v>2000</v>
      </c>
      <c r="EM75" s="15"/>
      <c r="EN75" s="15">
        <f t="shared" si="223"/>
        <v>2000</v>
      </c>
      <c r="EP75" s="15"/>
      <c r="EQ75" s="15">
        <f t="shared" si="224"/>
        <v>2000</v>
      </c>
      <c r="ES75" s="15"/>
      <c r="ET75" s="15">
        <f t="shared" si="225"/>
        <v>2000</v>
      </c>
      <c r="EW75" s="15">
        <f t="shared" si="226"/>
        <v>2000</v>
      </c>
      <c r="EZ75" s="15">
        <f t="shared" si="227"/>
        <v>2000</v>
      </c>
      <c r="FC75" s="15">
        <f t="shared" si="228"/>
        <v>2000</v>
      </c>
      <c r="FF75" s="15">
        <f t="shared" si="229"/>
        <v>2000</v>
      </c>
      <c r="FI75" s="15">
        <f t="shared" si="230"/>
        <v>2000</v>
      </c>
      <c r="FK75" s="227">
        <v>-1000</v>
      </c>
      <c r="FL75" s="15">
        <f t="shared" si="231"/>
        <v>1000</v>
      </c>
      <c r="FO75" s="15">
        <f t="shared" si="232"/>
        <v>1000</v>
      </c>
      <c r="FR75" s="15">
        <v>1000</v>
      </c>
      <c r="FT75" s="15">
        <v>926.32</v>
      </c>
      <c r="FV75" s="15">
        <v>1000</v>
      </c>
    </row>
    <row r="76" spans="1:179" outlineLevel="1">
      <c r="A76" s="12">
        <v>3314</v>
      </c>
      <c r="B76" s="1" t="s">
        <v>390</v>
      </c>
      <c r="C76" s="4" t="s">
        <v>391</v>
      </c>
      <c r="I76" s="36"/>
      <c r="J76" s="14"/>
      <c r="M76" s="17"/>
      <c r="N76" s="17"/>
      <c r="U76" s="16"/>
      <c r="Y76" s="118"/>
      <c r="AB76" s="185"/>
      <c r="AC76" s="187"/>
      <c r="AD76" s="187"/>
      <c r="AE76" s="118">
        <v>1700</v>
      </c>
      <c r="AF76" s="182"/>
      <c r="AH76" s="15">
        <v>1694</v>
      </c>
      <c r="AI76" s="17">
        <f t="shared" si="183"/>
        <v>0.99647058823529411</v>
      </c>
      <c r="AK76" s="118">
        <v>1700</v>
      </c>
      <c r="AS76" s="15">
        <f t="shared" si="192"/>
        <v>1700</v>
      </c>
      <c r="AV76" s="15">
        <f t="shared" si="193"/>
        <v>1700</v>
      </c>
      <c r="AX76" s="15"/>
      <c r="AY76" s="15">
        <f t="shared" si="194"/>
        <v>1700</v>
      </c>
      <c r="BB76" s="15">
        <f t="shared" si="195"/>
        <v>1700</v>
      </c>
      <c r="BD76" s="15"/>
      <c r="BE76" s="15">
        <f t="shared" si="196"/>
        <v>1700</v>
      </c>
      <c r="BG76" s="15"/>
      <c r="BH76" s="15">
        <f t="shared" si="197"/>
        <v>1700</v>
      </c>
      <c r="BJ76" s="15">
        <v>1694</v>
      </c>
      <c r="BK76" s="235">
        <f t="shared" si="198"/>
        <v>0.99647058823529411</v>
      </c>
      <c r="BM76" s="15">
        <v>1700</v>
      </c>
      <c r="BN76" s="235">
        <f t="shared" si="199"/>
        <v>1.0035419126328218</v>
      </c>
      <c r="BO76" s="235">
        <f t="shared" si="200"/>
        <v>1</v>
      </c>
      <c r="BQ76" s="15"/>
      <c r="BR76" s="15">
        <f t="shared" si="201"/>
        <v>1700</v>
      </c>
      <c r="BT76" s="15"/>
      <c r="BU76" s="15">
        <f t="shared" si="202"/>
        <v>1700</v>
      </c>
      <c r="BW76" s="15"/>
      <c r="BX76" s="15">
        <f t="shared" si="203"/>
        <v>1700</v>
      </c>
      <c r="BZ76" s="15"/>
      <c r="CA76" s="15">
        <f t="shared" si="204"/>
        <v>1700</v>
      </c>
      <c r="CC76" s="15"/>
      <c r="CD76" s="15">
        <f t="shared" si="205"/>
        <v>1700</v>
      </c>
      <c r="CF76" s="15"/>
      <c r="CG76" s="15">
        <f t="shared" si="206"/>
        <v>1700</v>
      </c>
      <c r="CI76" s="15"/>
      <c r="CJ76" s="15">
        <f t="shared" si="207"/>
        <v>1700</v>
      </c>
      <c r="CM76" s="15">
        <f t="shared" si="208"/>
        <v>1700</v>
      </c>
      <c r="CP76" s="15">
        <f t="shared" si="209"/>
        <v>1700</v>
      </c>
      <c r="CS76" s="15">
        <f t="shared" si="210"/>
        <v>1700</v>
      </c>
      <c r="CV76" s="15">
        <f t="shared" si="211"/>
        <v>1700</v>
      </c>
      <c r="CY76" s="15">
        <f t="shared" si="212"/>
        <v>1700</v>
      </c>
      <c r="DA76" s="15">
        <v>1694</v>
      </c>
      <c r="DC76" s="15">
        <v>1700</v>
      </c>
      <c r="DE76" s="15"/>
      <c r="DF76" s="15">
        <f t="shared" si="213"/>
        <v>1700</v>
      </c>
      <c r="DH76" s="15"/>
      <c r="DI76" s="15">
        <f t="shared" si="214"/>
        <v>1700</v>
      </c>
      <c r="DK76" s="15"/>
      <c r="DL76" s="15">
        <f t="shared" si="215"/>
        <v>1700</v>
      </c>
      <c r="DN76" s="15"/>
      <c r="DO76" s="15">
        <f t="shared" si="216"/>
        <v>1700</v>
      </c>
      <c r="DQ76" s="15"/>
      <c r="DR76" s="15">
        <f t="shared" si="217"/>
        <v>1700</v>
      </c>
      <c r="DT76" s="15"/>
      <c r="DU76" s="15">
        <f t="shared" si="218"/>
        <v>1700</v>
      </c>
      <c r="DW76" s="15"/>
      <c r="DX76" s="15">
        <f t="shared" si="219"/>
        <v>1700</v>
      </c>
      <c r="DZ76" s="15"/>
      <c r="EA76" s="15">
        <f t="shared" si="220"/>
        <v>1700</v>
      </c>
      <c r="EC76" s="15"/>
      <c r="ED76" s="15">
        <f t="shared" si="221"/>
        <v>1700</v>
      </c>
      <c r="EF76" s="15"/>
      <c r="EG76" s="15">
        <f t="shared" si="222"/>
        <v>1700</v>
      </c>
      <c r="EI76" s="15">
        <v>1694</v>
      </c>
      <c r="EK76" s="15">
        <v>1700</v>
      </c>
      <c r="EM76" s="15"/>
      <c r="EN76" s="15">
        <f t="shared" si="223"/>
        <v>1700</v>
      </c>
      <c r="EP76" s="15"/>
      <c r="EQ76" s="15">
        <f t="shared" si="224"/>
        <v>1700</v>
      </c>
      <c r="ES76" s="15"/>
      <c r="ET76" s="15">
        <f t="shared" si="225"/>
        <v>1700</v>
      </c>
      <c r="EW76" s="15">
        <f t="shared" si="226"/>
        <v>1700</v>
      </c>
      <c r="EZ76" s="15">
        <f t="shared" si="227"/>
        <v>1700</v>
      </c>
      <c r="FC76" s="15">
        <f t="shared" si="228"/>
        <v>1700</v>
      </c>
      <c r="FF76" s="15">
        <f t="shared" si="229"/>
        <v>1700</v>
      </c>
      <c r="FI76" s="15">
        <f t="shared" si="230"/>
        <v>1700</v>
      </c>
      <c r="FK76" s="227">
        <v>-1700</v>
      </c>
      <c r="FL76" s="15">
        <f t="shared" si="231"/>
        <v>0</v>
      </c>
      <c r="FO76" s="15">
        <f t="shared" si="232"/>
        <v>0</v>
      </c>
      <c r="FR76" s="15">
        <v>0</v>
      </c>
    </row>
    <row r="77" spans="1:179" outlineLevel="1">
      <c r="A77" s="12">
        <v>3314</v>
      </c>
      <c r="B77" s="1" t="s">
        <v>115</v>
      </c>
      <c r="C77" s="4" t="s">
        <v>116</v>
      </c>
      <c r="I77" s="36"/>
      <c r="J77" s="14"/>
      <c r="L77" s="118">
        <v>1000</v>
      </c>
      <c r="M77" s="17" t="e">
        <f t="shared" si="188"/>
        <v>#DIV/0!</v>
      </c>
      <c r="N77" s="17" t="e">
        <f t="shared" si="189"/>
        <v>#DIV/0!</v>
      </c>
      <c r="Q77" s="118">
        <v>1000</v>
      </c>
      <c r="R77" s="15">
        <v>0</v>
      </c>
      <c r="S77" s="118">
        <v>4000</v>
      </c>
      <c r="T77" s="15">
        <f t="shared" si="190"/>
        <v>3000</v>
      </c>
      <c r="U77" s="16">
        <f t="shared" si="182"/>
        <v>3</v>
      </c>
      <c r="Y77" s="118">
        <v>4000</v>
      </c>
      <c r="AA77" s="118">
        <v>0</v>
      </c>
      <c r="AB77" s="185">
        <f t="shared" si="234"/>
        <v>-4000</v>
      </c>
      <c r="AC77" s="187">
        <f t="shared" si="191"/>
        <v>-4000</v>
      </c>
      <c r="AD77" s="187"/>
      <c r="AE77" s="118">
        <v>0</v>
      </c>
      <c r="AF77" s="182"/>
      <c r="AH77" s="15">
        <v>0</v>
      </c>
      <c r="AI77" s="17"/>
      <c r="AK77" s="118">
        <v>1000</v>
      </c>
      <c r="AS77" s="15">
        <f t="shared" si="192"/>
        <v>1000</v>
      </c>
      <c r="AV77" s="15">
        <f t="shared" si="193"/>
        <v>1000</v>
      </c>
      <c r="AX77" s="15"/>
      <c r="AY77" s="15">
        <f t="shared" si="194"/>
        <v>1000</v>
      </c>
      <c r="BB77" s="15">
        <f t="shared" si="195"/>
        <v>1000</v>
      </c>
      <c r="BD77" s="15">
        <v>-1000</v>
      </c>
      <c r="BE77" s="15">
        <f t="shared" si="196"/>
        <v>0</v>
      </c>
      <c r="BG77" s="15"/>
      <c r="BH77" s="15">
        <f t="shared" si="197"/>
        <v>0</v>
      </c>
      <c r="BJ77" s="15">
        <v>0</v>
      </c>
      <c r="BK77" s="235" t="e">
        <f t="shared" si="198"/>
        <v>#DIV/0!</v>
      </c>
      <c r="BM77" s="15">
        <v>0</v>
      </c>
      <c r="BN77" s="235" t="e">
        <f t="shared" si="199"/>
        <v>#DIV/0!</v>
      </c>
      <c r="BO77" s="235" t="e">
        <f t="shared" si="200"/>
        <v>#DIV/0!</v>
      </c>
      <c r="BQ77" s="15"/>
      <c r="BR77" s="15">
        <f t="shared" si="201"/>
        <v>0</v>
      </c>
      <c r="BT77" s="15"/>
      <c r="BU77" s="15">
        <f t="shared" si="202"/>
        <v>0</v>
      </c>
      <c r="BW77" s="15"/>
      <c r="BX77" s="15">
        <f t="shared" si="203"/>
        <v>0</v>
      </c>
      <c r="BZ77" s="15"/>
      <c r="CA77" s="15">
        <f t="shared" si="204"/>
        <v>0</v>
      </c>
      <c r="CC77" s="15"/>
      <c r="CD77" s="15">
        <f t="shared" si="205"/>
        <v>0</v>
      </c>
      <c r="CF77" s="15"/>
      <c r="CG77" s="15">
        <f t="shared" si="206"/>
        <v>0</v>
      </c>
      <c r="CI77" s="15"/>
      <c r="CJ77" s="15">
        <f t="shared" si="207"/>
        <v>0</v>
      </c>
      <c r="CM77" s="15">
        <f t="shared" si="208"/>
        <v>0</v>
      </c>
      <c r="CP77" s="15">
        <f t="shared" si="209"/>
        <v>0</v>
      </c>
      <c r="CS77" s="15">
        <f t="shared" si="210"/>
        <v>0</v>
      </c>
      <c r="CV77" s="15">
        <f t="shared" si="211"/>
        <v>0</v>
      </c>
      <c r="CY77" s="15">
        <f t="shared" si="212"/>
        <v>0</v>
      </c>
      <c r="DA77" s="15">
        <v>0</v>
      </c>
      <c r="DC77" s="15">
        <v>0</v>
      </c>
      <c r="DE77" s="15"/>
      <c r="DF77" s="15">
        <f t="shared" si="213"/>
        <v>0</v>
      </c>
      <c r="DH77" s="15"/>
      <c r="DI77" s="15">
        <f t="shared" si="214"/>
        <v>0</v>
      </c>
      <c r="DK77" s="15"/>
      <c r="DL77" s="15">
        <f t="shared" si="215"/>
        <v>0</v>
      </c>
      <c r="DN77" s="15"/>
      <c r="DO77" s="15">
        <f t="shared" si="216"/>
        <v>0</v>
      </c>
      <c r="DQ77" s="15"/>
      <c r="DR77" s="15">
        <f t="shared" si="217"/>
        <v>0</v>
      </c>
      <c r="DT77" s="15"/>
      <c r="DU77" s="15">
        <f t="shared" si="218"/>
        <v>0</v>
      </c>
      <c r="DW77" s="15"/>
      <c r="DX77" s="15">
        <f t="shared" si="219"/>
        <v>0</v>
      </c>
      <c r="DZ77" s="15"/>
      <c r="EA77" s="15">
        <f t="shared" si="220"/>
        <v>0</v>
      </c>
      <c r="EC77" s="15"/>
      <c r="ED77" s="15">
        <f t="shared" si="221"/>
        <v>0</v>
      </c>
      <c r="EF77" s="15"/>
      <c r="EG77" s="15">
        <f t="shared" si="222"/>
        <v>0</v>
      </c>
      <c r="EK77" s="15"/>
      <c r="EM77" s="15"/>
      <c r="EN77" s="15">
        <f t="shared" si="223"/>
        <v>0</v>
      </c>
      <c r="EP77" s="15"/>
      <c r="EQ77" s="15">
        <f t="shared" si="224"/>
        <v>0</v>
      </c>
      <c r="ES77" s="15"/>
      <c r="ET77" s="15">
        <f t="shared" si="225"/>
        <v>0</v>
      </c>
      <c r="EW77" s="15">
        <f t="shared" si="226"/>
        <v>0</v>
      </c>
      <c r="EZ77" s="15">
        <f t="shared" si="227"/>
        <v>0</v>
      </c>
      <c r="FC77" s="15">
        <f t="shared" si="228"/>
        <v>0</v>
      </c>
      <c r="FF77" s="15">
        <f t="shared" si="229"/>
        <v>0</v>
      </c>
      <c r="FI77" s="15">
        <f t="shared" si="230"/>
        <v>0</v>
      </c>
      <c r="FL77" s="15">
        <f t="shared" si="231"/>
        <v>0</v>
      </c>
      <c r="FO77" s="15">
        <f t="shared" si="232"/>
        <v>0</v>
      </c>
      <c r="FR77" s="15">
        <v>0</v>
      </c>
    </row>
    <row r="78" spans="1:179" outlineLevel="1">
      <c r="A78" s="12">
        <v>3314</v>
      </c>
      <c r="B78" s="1" t="s">
        <v>117</v>
      </c>
      <c r="C78" s="4" t="s">
        <v>118</v>
      </c>
      <c r="I78" s="36"/>
      <c r="J78" s="14"/>
      <c r="K78" t="s">
        <v>332</v>
      </c>
      <c r="L78" s="118">
        <v>2000</v>
      </c>
      <c r="M78" s="17" t="e">
        <f t="shared" si="188"/>
        <v>#DIV/0!</v>
      </c>
      <c r="N78" s="17" t="e">
        <f t="shared" si="189"/>
        <v>#DIV/0!</v>
      </c>
      <c r="Q78" s="118">
        <v>2000</v>
      </c>
      <c r="R78" s="15">
        <v>484</v>
      </c>
      <c r="S78" s="118">
        <v>2000</v>
      </c>
      <c r="T78" s="15">
        <f t="shared" si="190"/>
        <v>0</v>
      </c>
      <c r="U78" s="16">
        <f t="shared" si="182"/>
        <v>0</v>
      </c>
      <c r="Y78" s="118">
        <v>2000</v>
      </c>
      <c r="AA78" s="118">
        <v>1000</v>
      </c>
      <c r="AB78" s="185">
        <f t="shared" si="234"/>
        <v>-1000</v>
      </c>
      <c r="AC78" s="187">
        <f t="shared" si="191"/>
        <v>-1000</v>
      </c>
      <c r="AD78" s="187"/>
      <c r="AE78" s="118">
        <v>2200</v>
      </c>
      <c r="AF78" s="182">
        <f>AE78-AA78</f>
        <v>1200</v>
      </c>
      <c r="AH78" s="15">
        <v>2134</v>
      </c>
      <c r="AI78" s="17">
        <f t="shared" si="183"/>
        <v>0.97</v>
      </c>
      <c r="AK78" s="118">
        <v>6000</v>
      </c>
      <c r="AS78" s="15">
        <f t="shared" si="192"/>
        <v>6000</v>
      </c>
      <c r="AV78" s="15">
        <f t="shared" si="193"/>
        <v>6000</v>
      </c>
      <c r="AX78" s="15"/>
      <c r="AY78" s="15">
        <f t="shared" si="194"/>
        <v>6000</v>
      </c>
      <c r="BB78" s="15">
        <f t="shared" si="195"/>
        <v>6000</v>
      </c>
      <c r="BD78" s="15"/>
      <c r="BE78" s="15">
        <f t="shared" si="196"/>
        <v>6000</v>
      </c>
      <c r="BG78" s="15">
        <v>500</v>
      </c>
      <c r="BH78" s="15">
        <f t="shared" si="197"/>
        <v>6500</v>
      </c>
      <c r="BJ78" s="15">
        <v>6450</v>
      </c>
      <c r="BK78" s="235">
        <f t="shared" si="198"/>
        <v>0.99230769230769234</v>
      </c>
      <c r="BM78" s="15">
        <v>1000</v>
      </c>
      <c r="BN78" s="235">
        <f t="shared" si="199"/>
        <v>0.15503875968992248</v>
      </c>
      <c r="BO78" s="235">
        <f t="shared" si="200"/>
        <v>0.15384615384615385</v>
      </c>
      <c r="BQ78" s="15"/>
      <c r="BR78" s="15">
        <f t="shared" si="201"/>
        <v>1000</v>
      </c>
      <c r="BT78" s="15"/>
      <c r="BU78" s="15">
        <f t="shared" si="202"/>
        <v>1000</v>
      </c>
      <c r="BW78" s="15"/>
      <c r="BX78" s="15">
        <f t="shared" si="203"/>
        <v>1000</v>
      </c>
      <c r="BZ78" s="15"/>
      <c r="CA78" s="15">
        <f t="shared" si="204"/>
        <v>1000</v>
      </c>
      <c r="CC78" s="15"/>
      <c r="CD78" s="15">
        <f t="shared" si="205"/>
        <v>1000</v>
      </c>
      <c r="CF78" s="15"/>
      <c r="CG78" s="15">
        <f t="shared" si="206"/>
        <v>1000</v>
      </c>
      <c r="CI78" s="15"/>
      <c r="CJ78" s="15">
        <f t="shared" si="207"/>
        <v>1000</v>
      </c>
      <c r="CM78" s="15">
        <f t="shared" si="208"/>
        <v>1000</v>
      </c>
      <c r="CP78" s="15">
        <f t="shared" si="209"/>
        <v>1000</v>
      </c>
      <c r="CS78" s="15">
        <f t="shared" si="210"/>
        <v>1000</v>
      </c>
      <c r="CU78" s="227">
        <v>-1000</v>
      </c>
      <c r="CV78" s="15">
        <f t="shared" si="211"/>
        <v>0</v>
      </c>
      <c r="CX78" s="227"/>
      <c r="CY78" s="15">
        <f t="shared" si="212"/>
        <v>0</v>
      </c>
      <c r="DA78" s="15">
        <v>0</v>
      </c>
      <c r="DC78" s="15">
        <v>0</v>
      </c>
      <c r="DE78" s="15"/>
      <c r="DF78" s="15">
        <f t="shared" si="213"/>
        <v>0</v>
      </c>
      <c r="DH78" s="15"/>
      <c r="DI78" s="15">
        <f t="shared" si="214"/>
        <v>0</v>
      </c>
      <c r="DK78" s="15"/>
      <c r="DL78" s="15">
        <f t="shared" si="215"/>
        <v>0</v>
      </c>
      <c r="DN78" s="15"/>
      <c r="DO78" s="15">
        <f t="shared" si="216"/>
        <v>0</v>
      </c>
      <c r="DQ78" s="15"/>
      <c r="DR78" s="15">
        <f t="shared" si="217"/>
        <v>0</v>
      </c>
      <c r="DT78" s="15"/>
      <c r="DU78" s="15">
        <f t="shared" si="218"/>
        <v>0</v>
      </c>
      <c r="DW78" s="15"/>
      <c r="DX78" s="15">
        <f t="shared" si="219"/>
        <v>0</v>
      </c>
      <c r="DZ78" s="15"/>
      <c r="EA78" s="15">
        <f t="shared" si="220"/>
        <v>0</v>
      </c>
      <c r="EC78" s="15"/>
      <c r="ED78" s="15">
        <f t="shared" si="221"/>
        <v>0</v>
      </c>
      <c r="EF78" s="15"/>
      <c r="EG78" s="15">
        <f t="shared" si="222"/>
        <v>0</v>
      </c>
      <c r="EK78" s="15"/>
      <c r="EM78" s="15"/>
      <c r="EN78" s="15">
        <f t="shared" si="223"/>
        <v>0</v>
      </c>
      <c r="EP78" s="15"/>
      <c r="EQ78" s="15">
        <f t="shared" si="224"/>
        <v>0</v>
      </c>
      <c r="ES78" s="15"/>
      <c r="ET78" s="15">
        <f t="shared" si="225"/>
        <v>0</v>
      </c>
      <c r="EW78" s="15">
        <f t="shared" si="226"/>
        <v>0</v>
      </c>
      <c r="EZ78" s="15">
        <f t="shared" si="227"/>
        <v>0</v>
      </c>
      <c r="FC78" s="15">
        <f t="shared" si="228"/>
        <v>0</v>
      </c>
      <c r="FF78" s="15">
        <f t="shared" si="229"/>
        <v>0</v>
      </c>
      <c r="FI78" s="15">
        <f t="shared" si="230"/>
        <v>0</v>
      </c>
      <c r="FL78" s="15">
        <f t="shared" si="231"/>
        <v>0</v>
      </c>
      <c r="FO78" s="15">
        <f t="shared" si="232"/>
        <v>0</v>
      </c>
      <c r="FR78" s="15">
        <v>0</v>
      </c>
    </row>
    <row r="79" spans="1:179" outlineLevel="1">
      <c r="A79" s="12">
        <v>3314</v>
      </c>
      <c r="B79" s="38" t="s">
        <v>148</v>
      </c>
      <c r="C79" s="37" t="s">
        <v>149</v>
      </c>
      <c r="I79" s="36"/>
      <c r="J79" s="14"/>
      <c r="L79" s="118">
        <v>1000</v>
      </c>
      <c r="M79" s="17" t="e">
        <f t="shared" si="188"/>
        <v>#DIV/0!</v>
      </c>
      <c r="N79" s="17" t="e">
        <f t="shared" si="189"/>
        <v>#DIV/0!</v>
      </c>
      <c r="Q79" s="118">
        <v>1000</v>
      </c>
      <c r="R79" s="15">
        <v>0</v>
      </c>
      <c r="S79" s="118">
        <v>0</v>
      </c>
      <c r="T79" s="15">
        <f t="shared" si="190"/>
        <v>-1000</v>
      </c>
      <c r="U79" s="16">
        <f t="shared" si="182"/>
        <v>-1</v>
      </c>
      <c r="Y79" s="118">
        <v>0</v>
      </c>
      <c r="AA79" s="118">
        <v>0</v>
      </c>
      <c r="AB79" s="185">
        <f t="shared" si="234"/>
        <v>0</v>
      </c>
      <c r="AC79" s="187">
        <f t="shared" si="191"/>
        <v>0</v>
      </c>
      <c r="AD79" s="187"/>
      <c r="AE79" s="118">
        <v>0</v>
      </c>
      <c r="AF79" s="182"/>
      <c r="AH79" s="15">
        <v>0</v>
      </c>
      <c r="AI79" s="17"/>
      <c r="AK79" s="118">
        <v>0</v>
      </c>
      <c r="AX79" s="15"/>
      <c r="BD79" s="15"/>
      <c r="BG79" s="15"/>
      <c r="DE79" s="15"/>
      <c r="DH79" s="15"/>
      <c r="DK79" s="15"/>
      <c r="DN79" s="15"/>
      <c r="DQ79" s="15"/>
      <c r="DT79" s="15"/>
      <c r="DW79" s="15"/>
      <c r="DZ79" s="15"/>
      <c r="EC79" s="15"/>
      <c r="EF79" s="15"/>
      <c r="EK79" s="15"/>
      <c r="EM79" s="15"/>
      <c r="EP79" s="15"/>
      <c r="ES79" s="15"/>
    </row>
    <row r="80" spans="1:179" ht="15.75" customHeight="1" thickBot="1">
      <c r="A80" s="54" t="s">
        <v>322</v>
      </c>
      <c r="B80" s="55" t="s">
        <v>316</v>
      </c>
      <c r="C80" s="283" t="s">
        <v>321</v>
      </c>
      <c r="D80" s="57" t="e">
        <f>#REF!</f>
        <v>#REF!</v>
      </c>
      <c r="E80" s="58"/>
      <c r="F80" s="57" t="e">
        <f>#REF!</f>
        <v>#REF!</v>
      </c>
      <c r="G80" s="58"/>
      <c r="H80" s="57"/>
      <c r="I80" s="57" t="e">
        <f>#REF!</f>
        <v>#REF!</v>
      </c>
      <c r="J80" s="138" t="e">
        <f>I80/$I$332</f>
        <v>#REF!</v>
      </c>
      <c r="K80" s="60"/>
      <c r="L80" s="122">
        <f>SUM(L70:L79)</f>
        <v>47799.92</v>
      </c>
      <c r="M80" s="61" t="e">
        <f t="shared" ref="M80:M87" si="235">L80/F80-1</f>
        <v>#REF!</v>
      </c>
      <c r="N80" s="61" t="e">
        <f t="shared" ref="N80:N87" si="236">L80/I80-1</f>
        <v>#REF!</v>
      </c>
      <c r="O80" s="17">
        <f>L80/$L$332</f>
        <v>1.1090468883349771E-2</v>
      </c>
      <c r="P80" s="17"/>
      <c r="Q80" s="122">
        <f>SUM(Q70:Q79)</f>
        <v>46000</v>
      </c>
      <c r="R80" s="122">
        <f>SUM(R70:R79)</f>
        <v>14900</v>
      </c>
      <c r="S80" s="122">
        <f>SUM(S70:S79)</f>
        <v>41650</v>
      </c>
      <c r="T80" s="122">
        <f>SUM(T70:T79)</f>
        <v>-4350</v>
      </c>
      <c r="U80" s="155">
        <f t="shared" si="182"/>
        <v>-9.4565217391304301E-2</v>
      </c>
      <c r="Y80" s="122">
        <f>SUM(Y70:Y79)</f>
        <v>40150</v>
      </c>
      <c r="AA80" s="122">
        <f>SUM(AA70:AA79)</f>
        <v>35700</v>
      </c>
      <c r="AB80" s="122">
        <f>SUM(AB70:AB79)</f>
        <v>-4450</v>
      </c>
      <c r="AE80" s="122">
        <f>SUM(AE70:AE79)</f>
        <v>41100</v>
      </c>
      <c r="AF80" s="182"/>
      <c r="AH80" s="122">
        <f>SUM(AH70:AH79)</f>
        <v>36090.800000000003</v>
      </c>
      <c r="AI80" s="17">
        <f t="shared" si="183"/>
        <v>0.8781216545012166</v>
      </c>
      <c r="AK80" s="122">
        <f>SUM(AK70:AK79)</f>
        <v>49600</v>
      </c>
      <c r="AL80" s="193">
        <f t="shared" ref="AL80:AL81" si="237">AK80/L80</f>
        <v>1.0376586404328711</v>
      </c>
      <c r="AM80" s="17">
        <f t="shared" ref="AM80:AM81" si="238">AK80/AE80</f>
        <v>1.2068126520681266</v>
      </c>
      <c r="AN80" s="17">
        <f t="shared" ref="AN80:AN81" si="239">AK80/AH80</f>
        <v>1.3743114588759462</v>
      </c>
      <c r="AS80" s="122">
        <f>SUM(AS70:AS79)</f>
        <v>49600</v>
      </c>
      <c r="AU80" s="122">
        <f>SUM(AU70:AU79)</f>
        <v>0</v>
      </c>
      <c r="AV80" s="122">
        <f>SUM(AV70:AV79)</f>
        <v>49600</v>
      </c>
      <c r="AX80" s="122">
        <f>SUM(AX70:AX79)</f>
        <v>0</v>
      </c>
      <c r="AY80" s="122">
        <f>SUM(AY70:AY79)</f>
        <v>49600</v>
      </c>
      <c r="BA80" s="122">
        <f>SUM(BA70:BA79)</f>
        <v>0</v>
      </c>
      <c r="BB80" s="122">
        <f>SUM(BB70:BB79)</f>
        <v>49600</v>
      </c>
      <c r="BD80" s="122">
        <f>SUM(BD70:BD79)</f>
        <v>4000</v>
      </c>
      <c r="BE80" s="122">
        <f>SUM(BE70:BE79)</f>
        <v>53600</v>
      </c>
      <c r="BG80" s="122">
        <f>SUM(BG70:BG79)</f>
        <v>-1000</v>
      </c>
      <c r="BH80" s="122">
        <f>SUM(BH70:BH79)</f>
        <v>52600</v>
      </c>
      <c r="BJ80" s="122">
        <f>SUM(BJ70:BJ79)</f>
        <v>50636.35</v>
      </c>
      <c r="BK80" s="236">
        <f t="shared" ref="BK80:BK81" si="240">BJ80/BH80</f>
        <v>0.96266825095057029</v>
      </c>
      <c r="BM80" s="122">
        <f>SUM(BM70:BM79)</f>
        <v>95800</v>
      </c>
      <c r="BN80" s="236">
        <f t="shared" ref="BN80:BN81" si="241">BM80/BJ80</f>
        <v>1.8919215148801207</v>
      </c>
      <c r="BO80" s="236">
        <f t="shared" ref="BO80:BO81" si="242">BM80/BH80</f>
        <v>1.8212927756653992</v>
      </c>
      <c r="BQ80" s="122">
        <f>SUM(BQ70:BQ79)</f>
        <v>0</v>
      </c>
      <c r="BR80" s="122">
        <f>SUM(BR70:BR79)</f>
        <v>95800</v>
      </c>
      <c r="BT80" s="122">
        <f>SUM(BT70:BT79)</f>
        <v>0</v>
      </c>
      <c r="BU80" s="122">
        <f>SUM(BU70:BU79)</f>
        <v>95800</v>
      </c>
      <c r="BW80" s="122">
        <f>SUM(BW70:BW79)</f>
        <v>0</v>
      </c>
      <c r="BX80" s="122">
        <f>SUM(BX70:BX79)</f>
        <v>95800</v>
      </c>
      <c r="BZ80" s="122">
        <f>SUM(BZ70:BZ79)</f>
        <v>0</v>
      </c>
      <c r="CA80" s="122">
        <f>SUM(CA70:CA79)</f>
        <v>95800</v>
      </c>
      <c r="CC80" s="122">
        <f>SUM(CC70:CC79)</f>
        <v>0</v>
      </c>
      <c r="CD80" s="122">
        <f>SUM(CD70:CD79)</f>
        <v>95800</v>
      </c>
      <c r="CF80" s="122">
        <f>SUM(CF70:CF79)</f>
        <v>0</v>
      </c>
      <c r="CG80" s="122">
        <f>SUM(CG70:CG79)</f>
        <v>95800</v>
      </c>
      <c r="CI80" s="122">
        <f>SUM(CI70:CI79)</f>
        <v>0</v>
      </c>
      <c r="CJ80" s="122">
        <f>SUM(CJ70:CJ79)</f>
        <v>95800</v>
      </c>
      <c r="CL80" s="319">
        <f>SUM(CL70:CL79)</f>
        <v>0</v>
      </c>
      <c r="CM80" s="122">
        <f>SUM(CM70:CM79)</f>
        <v>95800</v>
      </c>
      <c r="CO80" s="122">
        <f>SUM(CO70:CO79)</f>
        <v>0</v>
      </c>
      <c r="CP80" s="122">
        <f>SUM(CP70:CP79)</f>
        <v>95800</v>
      </c>
      <c r="CR80" s="122">
        <f>SUM(CR70:CR79)</f>
        <v>0</v>
      </c>
      <c r="CS80" s="122">
        <f>SUM(CS70:CS79)</f>
        <v>95800</v>
      </c>
      <c r="CU80" s="122">
        <f>SUM(CU70:CU79)</f>
        <v>6200</v>
      </c>
      <c r="CV80" s="122">
        <f>SUM(CV70:CV79)</f>
        <v>102000</v>
      </c>
      <c r="CX80" s="122">
        <f>SUM(CX70:CX79)</f>
        <v>0</v>
      </c>
      <c r="CY80" s="122">
        <f>SUM(CY70:CY79)</f>
        <v>102000</v>
      </c>
      <c r="DA80" s="122">
        <f>SUM(DA70:DA79)</f>
        <v>101379.42</v>
      </c>
      <c r="DC80" s="122">
        <f>SUM(DC70:DC79)</f>
        <v>99300</v>
      </c>
      <c r="DE80" s="122">
        <f>SUM(DE70:DE79)</f>
        <v>0</v>
      </c>
      <c r="DF80" s="122">
        <f>SUM(DF70:DF79)</f>
        <v>99300</v>
      </c>
      <c r="DH80" s="122">
        <f>SUM(DH70:DH79)</f>
        <v>0</v>
      </c>
      <c r="DI80" s="122">
        <f>SUM(DI70:DI79)</f>
        <v>99300</v>
      </c>
      <c r="DK80" s="122">
        <f>SUM(DK70:DK79)</f>
        <v>0</v>
      </c>
      <c r="DL80" s="122">
        <f>SUM(DL70:DL79)</f>
        <v>99300</v>
      </c>
      <c r="DN80" s="122">
        <f>SUM(DN70:DN79)</f>
        <v>0</v>
      </c>
      <c r="DO80" s="122">
        <f>SUM(DO70:DO79)</f>
        <v>99300</v>
      </c>
      <c r="DQ80" s="122">
        <f>SUM(DQ70:DQ79)</f>
        <v>0</v>
      </c>
      <c r="DR80" s="122">
        <f>SUM(DR70:DR79)</f>
        <v>99300</v>
      </c>
      <c r="DT80" s="122">
        <f>SUM(DT70:DT79)</f>
        <v>800</v>
      </c>
      <c r="DU80" s="122">
        <f>SUM(DU70:DU79)</f>
        <v>100100</v>
      </c>
      <c r="DW80" s="122">
        <f>SUM(DW70:DW79)</f>
        <v>0</v>
      </c>
      <c r="DX80" s="122">
        <f>SUM(DX70:DX79)</f>
        <v>100100</v>
      </c>
      <c r="DZ80" s="122">
        <f>SUM(DZ70:DZ79)</f>
        <v>0</v>
      </c>
      <c r="EA80" s="122">
        <f>SUM(EA70:EA79)</f>
        <v>100100</v>
      </c>
      <c r="EC80" s="122">
        <f>SUM(EC70:EC79)</f>
        <v>1750</v>
      </c>
      <c r="ED80" s="122">
        <f>SUM(ED70:ED79)</f>
        <v>101850</v>
      </c>
      <c r="EF80" s="122">
        <f>SUM(EF70:EF79)</f>
        <v>1500</v>
      </c>
      <c r="EG80" s="122">
        <f>SUM(EG70:EG79)</f>
        <v>103350</v>
      </c>
      <c r="EI80" s="122">
        <f>SUM(EI70:EI79)</f>
        <v>102157.12000000001</v>
      </c>
      <c r="EK80" s="122">
        <f>SUM(EK70:EK79)</f>
        <v>105840</v>
      </c>
      <c r="EL80" s="377">
        <f>EK80/EI80-1</f>
        <v>3.6051133782941225E-2</v>
      </c>
      <c r="EM80" s="122">
        <f>SUM(EM70:EM79)</f>
        <v>0</v>
      </c>
      <c r="EN80" s="122">
        <f>SUM(EN70:EN79)</f>
        <v>105840</v>
      </c>
      <c r="EP80" s="122">
        <f>SUM(EP70:EP79)</f>
        <v>0</v>
      </c>
      <c r="EQ80" s="122">
        <f>SUM(EQ70:EQ79)</f>
        <v>105840</v>
      </c>
      <c r="ES80" s="122">
        <f>SUM(ES70:ES79)</f>
        <v>0</v>
      </c>
      <c r="ET80" s="122">
        <f>SUM(ET70:ET79)</f>
        <v>105840</v>
      </c>
      <c r="EV80" s="122">
        <f>SUM(EV70:EV79)</f>
        <v>0</v>
      </c>
      <c r="EW80" s="122">
        <f>SUM(EW70:EW79)</f>
        <v>105840</v>
      </c>
      <c r="EY80" s="122">
        <f>SUM(EY70:EY79)</f>
        <v>0</v>
      </c>
      <c r="EZ80" s="122">
        <f>SUM(EZ70:EZ79)</f>
        <v>105840</v>
      </c>
      <c r="FB80" s="122">
        <f>SUM(FB70:FB79)</f>
        <v>0</v>
      </c>
      <c r="FC80" s="122">
        <f>SUM(FC70:FC79)</f>
        <v>105840</v>
      </c>
      <c r="FE80" s="122">
        <f>SUM(FE70:FE79)</f>
        <v>0</v>
      </c>
      <c r="FF80" s="122">
        <f>SUM(FF70:FF79)</f>
        <v>105840</v>
      </c>
      <c r="FH80" s="122">
        <f>SUM(FH70:FH79)</f>
        <v>0</v>
      </c>
      <c r="FI80" s="122">
        <f>SUM(FI70:FI79)</f>
        <v>105840</v>
      </c>
      <c r="FK80" s="122">
        <f>SUM(FK70:FK79)</f>
        <v>-12700</v>
      </c>
      <c r="FL80" s="122">
        <f>SUM(FL70:FL79)</f>
        <v>93140</v>
      </c>
      <c r="FN80" s="122">
        <f>SUM(FN70:FN79)</f>
        <v>100</v>
      </c>
      <c r="FO80" s="122">
        <f>SUM(FO70:FO79)</f>
        <v>93240</v>
      </c>
      <c r="FQ80" s="122">
        <v>-430</v>
      </c>
      <c r="FR80" s="122">
        <v>92810</v>
      </c>
      <c r="FT80" s="122">
        <f>SUM(FT70:FT79)</f>
        <v>92429.710000000021</v>
      </c>
      <c r="FV80" s="122">
        <f>SUM(FV70:FV79)</f>
        <v>102300</v>
      </c>
      <c r="FW80" s="235">
        <f t="shared" ref="FW80:FW81" si="243">FV80/FT80</f>
        <v>1.1067869844014437</v>
      </c>
    </row>
    <row r="81" spans="1:179" ht="14.25" customHeight="1" thickTop="1" thickBot="1">
      <c r="A81" s="64" t="s">
        <v>322</v>
      </c>
      <c r="B81" s="65" t="s">
        <v>357</v>
      </c>
      <c r="C81" s="284" t="s">
        <v>330</v>
      </c>
      <c r="D81" s="66">
        <f>D78</f>
        <v>0</v>
      </c>
      <c r="E81" s="67"/>
      <c r="F81" s="66">
        <f>F78</f>
        <v>0</v>
      </c>
      <c r="G81" s="67"/>
      <c r="H81" s="66"/>
      <c r="I81" s="66">
        <f>I78</f>
        <v>0</v>
      </c>
      <c r="J81" s="68"/>
      <c r="K81" s="69"/>
      <c r="L81" s="123">
        <f>L78</f>
        <v>2000</v>
      </c>
      <c r="M81" s="70" t="e">
        <f t="shared" si="235"/>
        <v>#DIV/0!</v>
      </c>
      <c r="N81" s="70" t="e">
        <f t="shared" si="236"/>
        <v>#DIV/0!</v>
      </c>
      <c r="Q81" s="123">
        <f>Q78</f>
        <v>2000</v>
      </c>
      <c r="R81" s="123">
        <f>R78</f>
        <v>484</v>
      </c>
      <c r="S81" s="123">
        <f>S78</f>
        <v>2000</v>
      </c>
      <c r="T81" s="123">
        <f>T78</f>
        <v>0</v>
      </c>
      <c r="U81" s="155">
        <f t="shared" si="182"/>
        <v>0</v>
      </c>
      <c r="Y81" s="123">
        <f>Y78</f>
        <v>2000</v>
      </c>
      <c r="AA81" s="123">
        <f>AA78</f>
        <v>1000</v>
      </c>
      <c r="AB81" s="123">
        <f>AB78</f>
        <v>-1000</v>
      </c>
      <c r="AE81" s="123">
        <f>AE78</f>
        <v>2200</v>
      </c>
      <c r="AF81" s="182"/>
      <c r="AH81" s="123">
        <f>AH78</f>
        <v>2134</v>
      </c>
      <c r="AI81" s="17">
        <f t="shared" si="183"/>
        <v>0.97</v>
      </c>
      <c r="AK81" s="123">
        <f>AK78</f>
        <v>6000</v>
      </c>
      <c r="AL81" s="193">
        <f t="shared" si="237"/>
        <v>3</v>
      </c>
      <c r="AM81" s="17">
        <f t="shared" si="238"/>
        <v>2.7272727272727271</v>
      </c>
      <c r="AN81" s="17">
        <f t="shared" si="239"/>
        <v>2.8116213683223994</v>
      </c>
      <c r="AS81" s="123">
        <f>AS78</f>
        <v>6000</v>
      </c>
      <c r="AU81" s="123">
        <f>AU78</f>
        <v>0</v>
      </c>
      <c r="AV81" s="123">
        <f>AV78</f>
        <v>6000</v>
      </c>
      <c r="AX81" s="123">
        <f>AX78</f>
        <v>0</v>
      </c>
      <c r="AY81" s="123">
        <f>AY78</f>
        <v>6000</v>
      </c>
      <c r="BA81" s="123">
        <f>BA78</f>
        <v>0</v>
      </c>
      <c r="BB81" s="123">
        <f>BB78</f>
        <v>6000</v>
      </c>
      <c r="BD81" s="123">
        <f>BD78</f>
        <v>0</v>
      </c>
      <c r="BE81" s="123">
        <f>BE78</f>
        <v>6000</v>
      </c>
      <c r="BG81" s="123">
        <f>BG78</f>
        <v>500</v>
      </c>
      <c r="BH81" s="123">
        <f>BH78</f>
        <v>6500</v>
      </c>
      <c r="BJ81" s="123">
        <f>BJ78</f>
        <v>6450</v>
      </c>
      <c r="BK81" s="236">
        <f t="shared" si="240"/>
        <v>0.99230769230769234</v>
      </c>
      <c r="BM81" s="123">
        <f>BM78</f>
        <v>1000</v>
      </c>
      <c r="BN81" s="236">
        <f t="shared" si="241"/>
        <v>0.15503875968992248</v>
      </c>
      <c r="BO81" s="236">
        <f t="shared" si="242"/>
        <v>0.15384615384615385</v>
      </c>
      <c r="BQ81" s="123">
        <f>BQ78</f>
        <v>0</v>
      </c>
      <c r="BR81" s="123">
        <f>BR78</f>
        <v>1000</v>
      </c>
      <c r="BT81" s="123">
        <f>BT78</f>
        <v>0</v>
      </c>
      <c r="BU81" s="123">
        <f>BU78</f>
        <v>1000</v>
      </c>
      <c r="BW81" s="123">
        <f>BW78</f>
        <v>0</v>
      </c>
      <c r="BX81" s="123">
        <f>BX78</f>
        <v>1000</v>
      </c>
      <c r="BZ81" s="123">
        <f>BZ78</f>
        <v>0</v>
      </c>
      <c r="CA81" s="123">
        <f>CA78</f>
        <v>1000</v>
      </c>
      <c r="CC81" s="123">
        <f>CC78</f>
        <v>0</v>
      </c>
      <c r="CD81" s="123">
        <f>CD78</f>
        <v>1000</v>
      </c>
      <c r="CF81" s="123">
        <f>CF78</f>
        <v>0</v>
      </c>
      <c r="CG81" s="123">
        <f>CG78</f>
        <v>1000</v>
      </c>
      <c r="CI81" s="123">
        <f>CI78</f>
        <v>0</v>
      </c>
      <c r="CJ81" s="123">
        <f>CJ78</f>
        <v>1000</v>
      </c>
      <c r="CL81" s="319">
        <f>CL78</f>
        <v>0</v>
      </c>
      <c r="CM81" s="123">
        <f>CM78</f>
        <v>1000</v>
      </c>
      <c r="CO81" s="123">
        <f>CO78</f>
        <v>0</v>
      </c>
      <c r="CP81" s="123">
        <f>CP78</f>
        <v>1000</v>
      </c>
      <c r="CR81" s="123">
        <f>CR78</f>
        <v>0</v>
      </c>
      <c r="CS81" s="123">
        <f>CS78</f>
        <v>1000</v>
      </c>
      <c r="CU81" s="123">
        <f>CU78</f>
        <v>-1000</v>
      </c>
      <c r="CV81" s="123">
        <f>CV78</f>
        <v>0</v>
      </c>
      <c r="CX81" s="123">
        <f>CX78</f>
        <v>0</v>
      </c>
      <c r="CY81" s="123">
        <f>CY78</f>
        <v>0</v>
      </c>
      <c r="DA81" s="123">
        <f>DA78</f>
        <v>0</v>
      </c>
      <c r="DC81" s="123">
        <f>DC78</f>
        <v>0</v>
      </c>
      <c r="DE81" s="123">
        <f>DE78</f>
        <v>0</v>
      </c>
      <c r="DF81" s="123">
        <f>DF78</f>
        <v>0</v>
      </c>
      <c r="DH81" s="123">
        <f>DH78</f>
        <v>0</v>
      </c>
      <c r="DI81" s="123">
        <f>DI78</f>
        <v>0</v>
      </c>
      <c r="DK81" s="123">
        <f>DK78</f>
        <v>0</v>
      </c>
      <c r="DL81" s="123">
        <f>DL78</f>
        <v>0</v>
      </c>
      <c r="DN81" s="123">
        <f>DN78</f>
        <v>0</v>
      </c>
      <c r="DO81" s="123">
        <f>DO78</f>
        <v>0</v>
      </c>
      <c r="DQ81" s="123">
        <f>DQ78</f>
        <v>0</v>
      </c>
      <c r="DR81" s="123">
        <f>DR78</f>
        <v>0</v>
      </c>
      <c r="DT81" s="123">
        <f>DT78</f>
        <v>0</v>
      </c>
      <c r="DU81" s="123">
        <f>DU78</f>
        <v>0</v>
      </c>
      <c r="DW81" s="123">
        <f>DW78</f>
        <v>0</v>
      </c>
      <c r="DX81" s="123">
        <f>DX78</f>
        <v>0</v>
      </c>
      <c r="DZ81" s="123">
        <f>DZ78</f>
        <v>0</v>
      </c>
      <c r="EA81" s="123">
        <f>EA78</f>
        <v>0</v>
      </c>
      <c r="EC81" s="123">
        <f>EC78</f>
        <v>0</v>
      </c>
      <c r="ED81" s="123">
        <f>ED78</f>
        <v>0</v>
      </c>
      <c r="EF81" s="123">
        <f>EF78</f>
        <v>0</v>
      </c>
      <c r="EG81" s="123">
        <f>EG78</f>
        <v>0</v>
      </c>
      <c r="EI81" s="123">
        <f>EI78</f>
        <v>0</v>
      </c>
      <c r="EK81" s="123">
        <f>EK78</f>
        <v>0</v>
      </c>
      <c r="EM81" s="123">
        <f>EM78</f>
        <v>0</v>
      </c>
      <c r="EN81" s="123">
        <f>EN78</f>
        <v>0</v>
      </c>
      <c r="EP81" s="123">
        <f>EP78</f>
        <v>0</v>
      </c>
      <c r="EQ81" s="123">
        <f>EQ78</f>
        <v>0</v>
      </c>
      <c r="ES81" s="123">
        <f>ES78</f>
        <v>0</v>
      </c>
      <c r="ET81" s="123">
        <f>ET78</f>
        <v>0</v>
      </c>
      <c r="EV81" s="123">
        <f>EV78</f>
        <v>0</v>
      </c>
      <c r="EW81" s="123">
        <f>EW78</f>
        <v>0</v>
      </c>
      <c r="EY81" s="123">
        <f>EY78</f>
        <v>0</v>
      </c>
      <c r="EZ81" s="123">
        <f>EZ78</f>
        <v>0</v>
      </c>
      <c r="FB81" s="123">
        <f>FB78</f>
        <v>0</v>
      </c>
      <c r="FC81" s="123">
        <f>FC78</f>
        <v>0</v>
      </c>
      <c r="FE81" s="123">
        <f>FE78</f>
        <v>0</v>
      </c>
      <c r="FF81" s="123">
        <f>FF78</f>
        <v>0</v>
      </c>
      <c r="FH81" s="123">
        <f>FH78</f>
        <v>0</v>
      </c>
      <c r="FI81" s="123">
        <f>FI78</f>
        <v>0</v>
      </c>
      <c r="FK81" s="123">
        <f>FK78</f>
        <v>0</v>
      </c>
      <c r="FL81" s="123">
        <f>FL78</f>
        <v>0</v>
      </c>
      <c r="FN81" s="123">
        <f>FN78</f>
        <v>0</v>
      </c>
      <c r="FO81" s="123">
        <f>FO78</f>
        <v>0</v>
      </c>
      <c r="FQ81" s="123">
        <v>0</v>
      </c>
      <c r="FR81" s="123">
        <v>0</v>
      </c>
      <c r="FT81" s="123">
        <f>FT78</f>
        <v>0</v>
      </c>
      <c r="FV81" s="123">
        <f>FV78</f>
        <v>0</v>
      </c>
      <c r="FW81" s="235" t="e">
        <f t="shared" si="243"/>
        <v>#DIV/0!</v>
      </c>
    </row>
    <row r="82" spans="1:179" ht="14.25" customHeight="1" thickTop="1">
      <c r="A82" s="13" t="s">
        <v>630</v>
      </c>
      <c r="B82" s="13" t="s">
        <v>142</v>
      </c>
      <c r="C82" s="37" t="s">
        <v>143</v>
      </c>
      <c r="D82" s="167"/>
      <c r="E82" s="168"/>
      <c r="F82" s="167"/>
      <c r="G82" s="168"/>
      <c r="H82" s="167"/>
      <c r="I82" s="167"/>
      <c r="J82" s="169"/>
      <c r="K82" s="170"/>
      <c r="L82" s="121"/>
      <c r="M82" s="350"/>
      <c r="N82" s="350"/>
      <c r="Q82" s="349"/>
      <c r="R82" s="349"/>
      <c r="S82" s="349"/>
      <c r="T82" s="349"/>
      <c r="U82" s="155"/>
      <c r="Y82" s="349"/>
      <c r="AA82" s="349"/>
      <c r="AB82" s="349"/>
      <c r="AE82" s="121"/>
      <c r="AF82" s="187"/>
      <c r="AH82" s="121"/>
      <c r="AI82" s="224"/>
      <c r="AK82" s="121"/>
      <c r="AL82" s="193"/>
      <c r="AM82" s="17"/>
      <c r="AN82" s="17"/>
      <c r="AS82" s="349"/>
      <c r="AU82" s="349"/>
      <c r="AV82" s="349"/>
      <c r="AX82" s="349"/>
      <c r="AY82" s="349"/>
      <c r="BA82" s="349"/>
      <c r="BB82" s="349"/>
      <c r="BD82" s="349"/>
      <c r="BE82" s="349"/>
      <c r="BG82" s="121"/>
      <c r="BH82" s="121"/>
      <c r="BJ82" s="121"/>
      <c r="BK82" s="291"/>
      <c r="BM82" s="121"/>
      <c r="BN82" s="291"/>
      <c r="BO82" s="291"/>
      <c r="BQ82" s="349"/>
      <c r="BR82" s="349"/>
      <c r="BT82" s="349"/>
      <c r="BU82" s="349"/>
      <c r="BW82" s="349"/>
      <c r="BX82" s="349"/>
      <c r="BZ82" s="349"/>
      <c r="CA82" s="349"/>
      <c r="CC82" s="349"/>
      <c r="CD82" s="349"/>
      <c r="CF82" s="349"/>
      <c r="CG82" s="349"/>
      <c r="CI82" s="349"/>
      <c r="CJ82" s="349"/>
      <c r="CL82" s="121"/>
      <c r="CM82" s="349"/>
      <c r="CO82" s="349"/>
      <c r="CP82" s="349"/>
      <c r="CR82" s="349"/>
      <c r="CS82" s="349"/>
      <c r="CU82" s="349"/>
      <c r="CV82" s="349"/>
      <c r="CX82" s="121"/>
      <c r="CY82" s="121"/>
      <c r="DA82" s="121"/>
      <c r="DC82" s="121"/>
      <c r="DE82" s="121"/>
      <c r="DF82" s="121"/>
      <c r="DH82" s="121"/>
      <c r="DI82" s="121"/>
      <c r="DK82" s="121"/>
      <c r="DL82" s="121"/>
      <c r="DN82" s="121"/>
      <c r="DO82" s="121"/>
      <c r="DQ82" s="121"/>
      <c r="DR82" s="121"/>
      <c r="DT82" s="121"/>
      <c r="DU82" s="121"/>
      <c r="DW82" s="121"/>
      <c r="DX82" s="121"/>
      <c r="DZ82" s="121"/>
      <c r="EA82" s="121"/>
      <c r="EC82" s="299">
        <v>4000</v>
      </c>
      <c r="ED82" s="15">
        <f t="shared" ref="ED82" si="244">EA82+EC82</f>
        <v>4000</v>
      </c>
      <c r="EF82" s="299">
        <v>100</v>
      </c>
      <c r="EG82" s="15">
        <f t="shared" ref="EG82" si="245">ED82+EF82</f>
        <v>4100</v>
      </c>
      <c r="EI82" s="36">
        <v>4012</v>
      </c>
      <c r="EK82" s="36">
        <v>0</v>
      </c>
      <c r="EM82" s="121"/>
      <c r="EN82" s="121"/>
      <c r="EP82" s="121"/>
      <c r="EQ82" s="121"/>
      <c r="ES82" s="121"/>
      <c r="ET82" s="121"/>
      <c r="EV82" s="121"/>
      <c r="EW82" s="121"/>
      <c r="EY82" s="121"/>
      <c r="EZ82" s="121"/>
      <c r="FB82" s="121"/>
      <c r="FC82" s="121"/>
      <c r="FE82" s="121"/>
      <c r="FF82" s="121"/>
      <c r="FH82" s="121"/>
      <c r="FI82" s="121"/>
      <c r="FK82" s="121"/>
      <c r="FL82" s="121"/>
      <c r="FN82" s="121"/>
      <c r="FO82" s="121"/>
      <c r="FQ82" s="121"/>
      <c r="FR82" s="121"/>
      <c r="FT82" s="36"/>
      <c r="FV82" s="36">
        <v>0</v>
      </c>
    </row>
    <row r="83" spans="1:179" ht="14.25" customHeight="1">
      <c r="A83" s="13" t="s">
        <v>630</v>
      </c>
      <c r="B83" s="371" t="s">
        <v>117</v>
      </c>
      <c r="C83" s="4" t="s">
        <v>118</v>
      </c>
      <c r="D83" s="167"/>
      <c r="E83" s="168"/>
      <c r="F83" s="167"/>
      <c r="G83" s="168"/>
      <c r="H83" s="167"/>
      <c r="I83" s="167"/>
      <c r="J83" s="169"/>
      <c r="K83" s="170"/>
      <c r="L83" s="121"/>
      <c r="M83" s="350"/>
      <c r="N83" s="350"/>
      <c r="Q83" s="349"/>
      <c r="R83" s="349"/>
      <c r="S83" s="349"/>
      <c r="T83" s="349"/>
      <c r="U83" s="155"/>
      <c r="Y83" s="349"/>
      <c r="AA83" s="349"/>
      <c r="AB83" s="349"/>
      <c r="AE83" s="121"/>
      <c r="AF83" s="187"/>
      <c r="AH83" s="121"/>
      <c r="AI83" s="224"/>
      <c r="AK83" s="121"/>
      <c r="AL83" s="193"/>
      <c r="AM83" s="17"/>
      <c r="AN83" s="17"/>
      <c r="AS83" s="349"/>
      <c r="AU83" s="349"/>
      <c r="AV83" s="349"/>
      <c r="AX83" s="349"/>
      <c r="AY83" s="349"/>
      <c r="BA83" s="349"/>
      <c r="BB83" s="349"/>
      <c r="BD83" s="349"/>
      <c r="BE83" s="349"/>
      <c r="BG83" s="121"/>
      <c r="BH83" s="121"/>
      <c r="BJ83" s="121"/>
      <c r="BK83" s="291"/>
      <c r="BM83" s="121"/>
      <c r="BN83" s="291"/>
      <c r="BO83" s="291"/>
      <c r="BQ83" s="349"/>
      <c r="BR83" s="349"/>
      <c r="BT83" s="349"/>
      <c r="BU83" s="349"/>
      <c r="BW83" s="349"/>
      <c r="BX83" s="349"/>
      <c r="BZ83" s="349"/>
      <c r="CA83" s="349"/>
      <c r="CC83" s="349"/>
      <c r="CD83" s="349"/>
      <c r="CF83" s="349"/>
      <c r="CG83" s="349"/>
      <c r="CI83" s="349"/>
      <c r="CJ83" s="349"/>
      <c r="CL83" s="121"/>
      <c r="CM83" s="349"/>
      <c r="CO83" s="349"/>
      <c r="CP83" s="349"/>
      <c r="CR83" s="349"/>
      <c r="CS83" s="349"/>
      <c r="CU83" s="349"/>
      <c r="CV83" s="349"/>
      <c r="CX83" s="121"/>
      <c r="CY83" s="121"/>
      <c r="DA83" s="121"/>
      <c r="DC83" s="121"/>
      <c r="DE83" s="349"/>
      <c r="DF83" s="349"/>
      <c r="DH83" s="349"/>
      <c r="DI83" s="349"/>
      <c r="DK83" s="349"/>
      <c r="DL83" s="349"/>
      <c r="DN83" s="349"/>
      <c r="DO83" s="349"/>
      <c r="DQ83" s="349"/>
      <c r="DR83" s="349"/>
      <c r="DT83" s="121"/>
      <c r="DU83" s="121"/>
      <c r="DW83" s="121"/>
      <c r="DX83" s="121"/>
      <c r="DZ83" s="299">
        <v>26000</v>
      </c>
      <c r="EA83" s="15">
        <f t="shared" ref="EA83" si="246">DX83+DZ83</f>
        <v>26000</v>
      </c>
      <c r="EC83" s="299">
        <v>1110</v>
      </c>
      <c r="ED83" s="15">
        <f t="shared" ref="ED83" si="247">EA83+EC83</f>
        <v>27110</v>
      </c>
      <c r="EF83" s="36"/>
      <c r="EG83" s="15">
        <f t="shared" ref="EG83" si="248">ED83+EF83</f>
        <v>27110</v>
      </c>
      <c r="EI83" s="36">
        <v>27106.58</v>
      </c>
      <c r="EK83" s="36">
        <v>0</v>
      </c>
      <c r="EM83" s="36"/>
      <c r="EN83" s="15">
        <f t="shared" ref="EN83" si="249">EK83+EM83</f>
        <v>0</v>
      </c>
      <c r="EP83" s="36"/>
      <c r="EQ83" s="15">
        <f t="shared" ref="EQ83" si="250">EN83+EP83</f>
        <v>0</v>
      </c>
      <c r="ES83" s="36"/>
      <c r="ET83" s="15">
        <f t="shared" ref="ET83" si="251">EQ83+ES83</f>
        <v>0</v>
      </c>
      <c r="EV83" s="36"/>
      <c r="EW83" s="15">
        <f t="shared" ref="EW83" si="252">ET83+EV83</f>
        <v>0</v>
      </c>
      <c r="EY83" s="36"/>
      <c r="EZ83" s="15">
        <f t="shared" ref="EZ83" si="253">EW83+EY83</f>
        <v>0</v>
      </c>
      <c r="FB83" s="36"/>
      <c r="FC83" s="15">
        <f t="shared" ref="FC83" si="254">EZ83+FB83</f>
        <v>0</v>
      </c>
      <c r="FE83" s="36"/>
      <c r="FF83" s="15">
        <f t="shared" ref="FF83" si="255">FC83+FE83</f>
        <v>0</v>
      </c>
      <c r="FH83" s="36"/>
      <c r="FI83" s="15">
        <f t="shared" ref="FI83" si="256">FF83+FH83</f>
        <v>0</v>
      </c>
      <c r="FK83" s="36"/>
      <c r="FL83" s="15">
        <f t="shared" ref="FL83" si="257">FI83+FK83</f>
        <v>0</v>
      </c>
      <c r="FN83" s="36"/>
      <c r="FO83" s="15">
        <f t="shared" ref="FO83" si="258">FL83+FN83</f>
        <v>0</v>
      </c>
      <c r="FQ83" s="36"/>
      <c r="FR83" s="15">
        <v>0</v>
      </c>
      <c r="FT83" s="36"/>
      <c r="FV83" s="36">
        <v>0</v>
      </c>
    </row>
    <row r="84" spans="1:179" ht="14.25" customHeight="1" thickBot="1">
      <c r="A84" s="54" t="s">
        <v>630</v>
      </c>
      <c r="B84" s="372" t="s">
        <v>316</v>
      </c>
      <c r="C84" s="459" t="s">
        <v>631</v>
      </c>
      <c r="D84" s="460"/>
      <c r="E84" s="460"/>
      <c r="F84" s="460"/>
      <c r="G84" s="460"/>
      <c r="H84" s="460"/>
      <c r="I84" s="460"/>
      <c r="J84" s="460"/>
      <c r="K84" s="460"/>
      <c r="L84" s="459"/>
      <c r="M84" s="460"/>
      <c r="N84" s="460"/>
      <c r="O84" s="460"/>
      <c r="P84" s="460"/>
      <c r="Q84" s="460"/>
      <c r="R84" s="460"/>
      <c r="S84" s="460"/>
      <c r="T84" s="460"/>
      <c r="U84" s="460"/>
      <c r="V84" s="460"/>
      <c r="W84" s="460"/>
      <c r="Y84" s="349"/>
      <c r="AA84" s="349"/>
      <c r="AB84" s="349"/>
      <c r="AE84" s="121"/>
      <c r="AF84" s="187"/>
      <c r="AH84" s="121"/>
      <c r="AI84" s="224"/>
      <c r="AK84" s="121"/>
      <c r="AL84" s="193"/>
      <c r="AM84" s="17"/>
      <c r="AN84" s="17"/>
      <c r="AS84" s="349"/>
      <c r="AU84" s="349"/>
      <c r="AV84" s="349"/>
      <c r="AX84" s="349"/>
      <c r="AY84" s="349"/>
      <c r="BA84" s="349"/>
      <c r="BB84" s="349"/>
      <c r="BD84" s="349"/>
      <c r="BE84" s="349"/>
      <c r="BG84" s="121"/>
      <c r="BH84" s="121"/>
      <c r="BJ84" s="121"/>
      <c r="BK84" s="291"/>
      <c r="BM84" s="121"/>
      <c r="BN84" s="291"/>
      <c r="BO84" s="291"/>
      <c r="BQ84" s="349"/>
      <c r="BR84" s="349"/>
      <c r="BT84" s="349"/>
      <c r="BU84" s="349"/>
      <c r="BW84" s="349"/>
      <c r="BX84" s="349"/>
      <c r="BZ84" s="349"/>
      <c r="CA84" s="349"/>
      <c r="CC84" s="349"/>
      <c r="CD84" s="349"/>
      <c r="CF84" s="349"/>
      <c r="CG84" s="349"/>
      <c r="CI84" s="349"/>
      <c r="CJ84" s="349"/>
      <c r="CL84" s="121"/>
      <c r="CM84" s="349"/>
      <c r="CO84" s="349"/>
      <c r="CP84" s="349"/>
      <c r="CR84" s="349"/>
      <c r="CS84" s="349"/>
      <c r="CU84" s="349"/>
      <c r="CV84" s="349"/>
      <c r="CX84" s="121"/>
      <c r="CY84" s="121"/>
      <c r="DA84" s="121"/>
      <c r="DC84" s="121"/>
      <c r="DE84" s="349"/>
      <c r="DF84" s="349"/>
      <c r="DH84" s="349"/>
      <c r="DI84" s="349"/>
      <c r="DK84" s="349"/>
      <c r="DL84" s="349"/>
      <c r="DN84" s="349"/>
      <c r="DO84" s="349"/>
      <c r="DQ84" s="349"/>
      <c r="DR84" s="349"/>
      <c r="DT84" s="121"/>
      <c r="DU84" s="121"/>
      <c r="DW84" s="121"/>
      <c r="DX84" s="121"/>
      <c r="DZ84" s="122">
        <f>SUM(DZ83)</f>
        <v>26000</v>
      </c>
      <c r="EA84" s="122">
        <f>SUM(EA83)</f>
        <v>26000</v>
      </c>
      <c r="EC84" s="122">
        <f>SUM(EC82:EC83)</f>
        <v>5110</v>
      </c>
      <c r="ED84" s="122">
        <f>SUM(ED82:ED83)</f>
        <v>31110</v>
      </c>
      <c r="EF84" s="122">
        <f>SUM(EF82:EF83)</f>
        <v>100</v>
      </c>
      <c r="EG84" s="122">
        <f>SUM(EG82:EG83)</f>
        <v>31210</v>
      </c>
      <c r="EI84" s="122">
        <f>SUM(EI82:EI83)</f>
        <v>31118.58</v>
      </c>
      <c r="EK84" s="122">
        <f>SUM(EK82:EK83)</f>
        <v>0</v>
      </c>
      <c r="EM84" s="122">
        <f>SUM(EM83)</f>
        <v>0</v>
      </c>
      <c r="EN84" s="122">
        <f>SUM(EN83)</f>
        <v>0</v>
      </c>
      <c r="EP84" s="122">
        <f>SUM(EP83)</f>
        <v>0</v>
      </c>
      <c r="EQ84" s="122">
        <f>SUM(EQ83)</f>
        <v>0</v>
      </c>
      <c r="ES84" s="122">
        <f>SUM(ES83)</f>
        <v>0</v>
      </c>
      <c r="ET84" s="122">
        <f>SUM(ET83)</f>
        <v>0</v>
      </c>
      <c r="EV84" s="122">
        <f>SUM(EV83)</f>
        <v>0</v>
      </c>
      <c r="EW84" s="122">
        <f>SUM(EW83)</f>
        <v>0</v>
      </c>
      <c r="EY84" s="122">
        <f>SUM(EY83)</f>
        <v>0</v>
      </c>
      <c r="EZ84" s="122">
        <f>SUM(EZ83)</f>
        <v>0</v>
      </c>
      <c r="FB84" s="122">
        <f>SUM(FB83)</f>
        <v>0</v>
      </c>
      <c r="FC84" s="122">
        <f>SUM(FC83)</f>
        <v>0</v>
      </c>
      <c r="FE84" s="122">
        <f>SUM(FE83)</f>
        <v>0</v>
      </c>
      <c r="FF84" s="122">
        <f>SUM(FF83)</f>
        <v>0</v>
      </c>
      <c r="FH84" s="122">
        <f>SUM(FH83)</f>
        <v>0</v>
      </c>
      <c r="FI84" s="122">
        <f>SUM(FI83)</f>
        <v>0</v>
      </c>
      <c r="FK84" s="122">
        <f>SUM(FK83)</f>
        <v>0</v>
      </c>
      <c r="FL84" s="122">
        <f>SUM(FL83)</f>
        <v>0</v>
      </c>
      <c r="FN84" s="122">
        <f>SUM(FN83)</f>
        <v>0</v>
      </c>
      <c r="FO84" s="122">
        <f>SUM(FO83)</f>
        <v>0</v>
      </c>
      <c r="FQ84" s="122">
        <v>0</v>
      </c>
      <c r="FR84" s="122">
        <v>0</v>
      </c>
      <c r="FT84" s="122">
        <f>SUM(FT82:FT83)</f>
        <v>0</v>
      </c>
      <c r="FV84" s="122">
        <f>SUM(FV82:FV83)</f>
        <v>0</v>
      </c>
      <c r="FW84" s="235" t="e">
        <f t="shared" ref="FW84" si="259">FV84/FT84</f>
        <v>#DIV/0!</v>
      </c>
    </row>
    <row r="85" spans="1:179" ht="15.75" outlineLevel="1" thickTop="1">
      <c r="A85" s="12">
        <v>3330</v>
      </c>
      <c r="B85" s="1" t="s">
        <v>150</v>
      </c>
      <c r="C85" s="4" t="s">
        <v>151</v>
      </c>
      <c r="I85" s="36"/>
      <c r="J85" s="14"/>
      <c r="K85" t="s">
        <v>332</v>
      </c>
      <c r="L85" s="118">
        <v>1000</v>
      </c>
      <c r="M85" s="17" t="e">
        <f t="shared" si="235"/>
        <v>#DIV/0!</v>
      </c>
      <c r="N85" s="17" t="e">
        <f t="shared" si="236"/>
        <v>#DIV/0!</v>
      </c>
      <c r="Q85" s="118">
        <v>1000</v>
      </c>
      <c r="R85" s="15">
        <v>0</v>
      </c>
      <c r="S85" s="118">
        <v>0</v>
      </c>
      <c r="T85" s="15">
        <f>S85-Q85</f>
        <v>-1000</v>
      </c>
      <c r="U85" s="16">
        <f t="shared" si="182"/>
        <v>-1</v>
      </c>
      <c r="Y85" s="118">
        <v>0</v>
      </c>
      <c r="AF85" s="182"/>
      <c r="AH85" s="15"/>
      <c r="AX85" s="15"/>
      <c r="BD85" s="15"/>
      <c r="BG85" s="15"/>
      <c r="DE85" s="15"/>
      <c r="DH85" s="15"/>
      <c r="DK85" s="15"/>
      <c r="DN85" s="15"/>
      <c r="DQ85" s="15"/>
      <c r="DT85" s="15"/>
      <c r="DW85" s="15"/>
      <c r="DZ85" s="15"/>
      <c r="EC85" s="15"/>
      <c r="EF85" s="15"/>
      <c r="EK85" s="15"/>
      <c r="EM85" s="15"/>
      <c r="EP85" s="15"/>
      <c r="ES85" s="15"/>
    </row>
    <row r="86" spans="1:179" outlineLevel="1">
      <c r="A86" s="12">
        <v>3330</v>
      </c>
      <c r="B86" s="1" t="s">
        <v>163</v>
      </c>
      <c r="C86" s="4" t="s">
        <v>164</v>
      </c>
      <c r="I86" s="36"/>
      <c r="J86" s="14"/>
      <c r="K86" t="s">
        <v>332</v>
      </c>
      <c r="L86" s="118">
        <v>10000</v>
      </c>
      <c r="M86" s="17" t="e">
        <f t="shared" si="235"/>
        <v>#DIV/0!</v>
      </c>
      <c r="N86" s="17" t="e">
        <f t="shared" si="236"/>
        <v>#DIV/0!</v>
      </c>
      <c r="Q86" s="118">
        <v>10000</v>
      </c>
      <c r="R86" s="15">
        <v>10000</v>
      </c>
      <c r="S86" s="118">
        <v>10000</v>
      </c>
      <c r="T86" s="15">
        <f>S86-Q86</f>
        <v>0</v>
      </c>
      <c r="U86" s="16">
        <f t="shared" si="182"/>
        <v>0</v>
      </c>
      <c r="Y86" s="118">
        <v>10000</v>
      </c>
      <c r="AA86" s="118">
        <v>10000</v>
      </c>
      <c r="AB86" s="185">
        <f>AA86-Y86</f>
        <v>0</v>
      </c>
      <c r="AC86" s="187">
        <f t="shared" ref="AC86" si="260">AA86-Y86</f>
        <v>0</v>
      </c>
      <c r="AD86" s="187"/>
      <c r="AE86" s="118">
        <v>10000</v>
      </c>
      <c r="AF86" s="182"/>
      <c r="AH86" s="15">
        <v>10000</v>
      </c>
      <c r="AI86" s="17">
        <f t="shared" si="183"/>
        <v>1</v>
      </c>
      <c r="AK86" s="118">
        <v>10000</v>
      </c>
      <c r="AS86" s="15">
        <f t="shared" ref="AS86" si="261">AR86+AK86</f>
        <v>10000</v>
      </c>
      <c r="AV86" s="15">
        <f t="shared" ref="AV86" si="262">AS86+AU86</f>
        <v>10000</v>
      </c>
      <c r="AX86" s="15"/>
      <c r="AY86" s="15">
        <f t="shared" ref="AY86" si="263">AV86+AX86</f>
        <v>10000</v>
      </c>
      <c r="BB86" s="15">
        <f t="shared" ref="BB86" si="264">AY86+BA86</f>
        <v>10000</v>
      </c>
      <c r="BD86" s="15"/>
      <c r="BE86" s="15">
        <f t="shared" ref="BE86" si="265">BB86+BD86</f>
        <v>10000</v>
      </c>
      <c r="BG86" s="15"/>
      <c r="BH86" s="15">
        <f t="shared" ref="BH86" si="266">BE86+BG86</f>
        <v>10000</v>
      </c>
      <c r="BJ86" s="15">
        <v>10000</v>
      </c>
      <c r="BK86" s="235">
        <f t="shared" ref="BK86:BK87" si="267">BJ86/BH86</f>
        <v>1</v>
      </c>
      <c r="BM86" s="15">
        <v>10000</v>
      </c>
      <c r="BN86" s="235">
        <f t="shared" ref="BN86:BN87" si="268">BM86/BJ86</f>
        <v>1</v>
      </c>
      <c r="BO86" s="235">
        <f t="shared" ref="BO86:BO87" si="269">BM86/BH86</f>
        <v>1</v>
      </c>
      <c r="BQ86" s="15"/>
      <c r="BR86" s="15">
        <f>BM86+BQ86</f>
        <v>10000</v>
      </c>
      <c r="BT86" s="15"/>
      <c r="BU86" s="15">
        <f>BR86+BT86</f>
        <v>10000</v>
      </c>
      <c r="BW86" s="15"/>
      <c r="BX86" s="15">
        <f>BU86+BW86</f>
        <v>10000</v>
      </c>
      <c r="BZ86" s="15"/>
      <c r="CA86" s="15">
        <f>BX86+BZ86</f>
        <v>10000</v>
      </c>
      <c r="CC86" s="15"/>
      <c r="CD86" s="15">
        <f>CA86+CC86</f>
        <v>10000</v>
      </c>
      <c r="CF86" s="15"/>
      <c r="CG86" s="15">
        <f>CD86+CF86</f>
        <v>10000</v>
      </c>
      <c r="CI86" s="15"/>
      <c r="CJ86" s="15">
        <f>CG86+CI86</f>
        <v>10000</v>
      </c>
      <c r="CM86" s="15">
        <f>CJ86+CL86</f>
        <v>10000</v>
      </c>
      <c r="CP86" s="15">
        <f>CM86+CO86</f>
        <v>10000</v>
      </c>
      <c r="CS86" s="15">
        <f>CP86+CR86</f>
        <v>10000</v>
      </c>
      <c r="CV86" s="15">
        <f>CS86+CU86</f>
        <v>10000</v>
      </c>
      <c r="CY86" s="15">
        <f>CV86+CX86</f>
        <v>10000</v>
      </c>
      <c r="DA86" s="15">
        <v>10000</v>
      </c>
      <c r="DC86" s="15">
        <v>10000</v>
      </c>
      <c r="DE86" s="15"/>
      <c r="DF86" s="15">
        <f t="shared" ref="DF86" si="270">DC86+DE86</f>
        <v>10000</v>
      </c>
      <c r="DH86" s="15"/>
      <c r="DI86" s="15">
        <f t="shared" ref="DI86" si="271">DF86+DH86</f>
        <v>10000</v>
      </c>
      <c r="DK86" s="15"/>
      <c r="DL86" s="15">
        <f t="shared" ref="DL86" si="272">DI86+DK86</f>
        <v>10000</v>
      </c>
      <c r="DN86" s="15"/>
      <c r="DO86" s="15">
        <f t="shared" ref="DO86" si="273">DL86+DN86</f>
        <v>10000</v>
      </c>
      <c r="DQ86" s="15"/>
      <c r="DR86" s="15">
        <f t="shared" ref="DR86" si="274">DO86+DQ86</f>
        <v>10000</v>
      </c>
      <c r="DT86" s="15"/>
      <c r="DU86" s="15">
        <f t="shared" ref="DU86" si="275">DR86+DT86</f>
        <v>10000</v>
      </c>
      <c r="DW86" s="15"/>
      <c r="DX86" s="15">
        <f t="shared" ref="DX86" si="276">DU86+DW86</f>
        <v>10000</v>
      </c>
      <c r="DZ86" s="15"/>
      <c r="EA86" s="15">
        <f t="shared" ref="EA86" si="277">DX86+DZ86</f>
        <v>10000</v>
      </c>
      <c r="EC86" s="15"/>
      <c r="ED86" s="15">
        <f t="shared" ref="ED86" si="278">EA86+EC86</f>
        <v>10000</v>
      </c>
      <c r="EF86" s="15"/>
      <c r="EG86" s="15">
        <f t="shared" ref="EG86" si="279">ED86+EF86</f>
        <v>10000</v>
      </c>
      <c r="EI86" s="15">
        <v>10000</v>
      </c>
      <c r="EK86" s="15">
        <v>10000</v>
      </c>
      <c r="EM86" s="15"/>
      <c r="EN86" s="15">
        <f t="shared" ref="EN86" si="280">EK86+EM86</f>
        <v>10000</v>
      </c>
      <c r="EP86" s="15"/>
      <c r="EQ86" s="15">
        <f t="shared" ref="EQ86" si="281">EN86+EP86</f>
        <v>10000</v>
      </c>
      <c r="ES86" s="15"/>
      <c r="ET86" s="15">
        <f t="shared" ref="ET86" si="282">EQ86+ES86</f>
        <v>10000</v>
      </c>
      <c r="EW86" s="15">
        <f t="shared" ref="EW86" si="283">ET86+EV86</f>
        <v>10000</v>
      </c>
      <c r="EZ86" s="15">
        <f t="shared" ref="EZ86" si="284">EW86+EY86</f>
        <v>10000</v>
      </c>
      <c r="FC86" s="15">
        <f t="shared" ref="FC86" si="285">EZ86+FB86</f>
        <v>10000</v>
      </c>
      <c r="FF86" s="15">
        <f t="shared" ref="FF86" si="286">FC86+FE86</f>
        <v>10000</v>
      </c>
      <c r="FI86" s="15">
        <f t="shared" ref="FI86" si="287">FF86+FH86</f>
        <v>10000</v>
      </c>
      <c r="FK86" s="227">
        <f>8228-10000</f>
        <v>-1772</v>
      </c>
      <c r="FL86" s="15">
        <f t="shared" ref="FL86" si="288">FI86+FK86</f>
        <v>8228</v>
      </c>
      <c r="FO86" s="15">
        <f t="shared" ref="FO86" si="289">FL86+FN86</f>
        <v>8228</v>
      </c>
      <c r="FR86" s="15">
        <v>8228</v>
      </c>
      <c r="FT86" s="15">
        <v>8228</v>
      </c>
      <c r="FV86" s="15">
        <v>10000</v>
      </c>
      <c r="FW86" s="235">
        <f t="shared" ref="FW86:FW87" si="290">FV86/FT86</f>
        <v>1.2153621779290229</v>
      </c>
    </row>
    <row r="87" spans="1:179" ht="17.25" customHeight="1" thickBot="1">
      <c r="A87" s="54" t="s">
        <v>323</v>
      </c>
      <c r="B87" s="55" t="s">
        <v>316</v>
      </c>
      <c r="C87" s="283" t="s">
        <v>324</v>
      </c>
      <c r="D87" s="57" t="e">
        <f>#REF!</f>
        <v>#REF!</v>
      </c>
      <c r="E87" s="58"/>
      <c r="F87" s="57" t="e">
        <f>#REF!</f>
        <v>#REF!</v>
      </c>
      <c r="G87" s="58"/>
      <c r="H87" s="57"/>
      <c r="I87" s="57" t="e">
        <f>#REF!</f>
        <v>#REF!</v>
      </c>
      <c r="J87" s="138" t="e">
        <f>I87/$I$332</f>
        <v>#REF!</v>
      </c>
      <c r="K87" s="60"/>
      <c r="L87" s="122">
        <f>SUM(L85:L86)</f>
        <v>11000</v>
      </c>
      <c r="M87" s="61" t="e">
        <f t="shared" si="235"/>
        <v>#REF!</v>
      </c>
      <c r="N87" s="61" t="e">
        <f t="shared" si="236"/>
        <v>#REF!</v>
      </c>
      <c r="O87" s="17">
        <f>L87/$L$332</f>
        <v>2.5522042237068072E-3</v>
      </c>
      <c r="P87" s="17"/>
      <c r="Q87" s="122">
        <f>SUM(Q85:Q86)</f>
        <v>11000</v>
      </c>
      <c r="R87" s="122">
        <f>SUM(R85:R86)</f>
        <v>10000</v>
      </c>
      <c r="S87" s="122">
        <f>SUM(S85:S86)</f>
        <v>10000</v>
      </c>
      <c r="T87" s="122">
        <f>SUM(T85:T86)</f>
        <v>-1000</v>
      </c>
      <c r="U87" s="155">
        <f t="shared" si="182"/>
        <v>-9.0909090909090939E-2</v>
      </c>
      <c r="Y87" s="122">
        <f>SUM(Y85:Y86)</f>
        <v>10000</v>
      </c>
      <c r="AA87" s="122">
        <f>SUM(AA85:AA86)</f>
        <v>10000</v>
      </c>
      <c r="AB87" s="122">
        <f>SUM(AB85:AB86)</f>
        <v>0</v>
      </c>
      <c r="AE87" s="122">
        <f>SUM(AE85:AE86)</f>
        <v>10000</v>
      </c>
      <c r="AF87" s="182"/>
      <c r="AH87" s="122">
        <f>SUM(AH85:AH86)</f>
        <v>10000</v>
      </c>
      <c r="AI87" s="17">
        <f t="shared" si="183"/>
        <v>1</v>
      </c>
      <c r="AK87" s="122">
        <f>SUM(AK85:AK86)</f>
        <v>10000</v>
      </c>
      <c r="AL87" s="193">
        <f>AK87/L87</f>
        <v>0.90909090909090906</v>
      </c>
      <c r="AM87" s="17">
        <f>AK87/AE87</f>
        <v>1</v>
      </c>
      <c r="AN87" s="17">
        <f>AK87/AH87</f>
        <v>1</v>
      </c>
      <c r="AS87" s="122">
        <f>SUM(AS85:AS86)</f>
        <v>10000</v>
      </c>
      <c r="AU87" s="122">
        <f>SUM(AU85:AU86)</f>
        <v>0</v>
      </c>
      <c r="AV87" s="122">
        <f>SUM(AV85:AV86)</f>
        <v>10000</v>
      </c>
      <c r="AX87" s="122">
        <f>SUM(AX85:AX86)</f>
        <v>0</v>
      </c>
      <c r="AY87" s="122">
        <f>SUM(AY85:AY86)</f>
        <v>10000</v>
      </c>
      <c r="BA87" s="122">
        <f>SUM(BA85:BA86)</f>
        <v>0</v>
      </c>
      <c r="BB87" s="122">
        <f>SUM(BB85:BB86)</f>
        <v>10000</v>
      </c>
      <c r="BD87" s="122">
        <f>SUM(BD85:BD86)</f>
        <v>0</v>
      </c>
      <c r="BE87" s="122">
        <f>SUM(BE85:BE86)</f>
        <v>10000</v>
      </c>
      <c r="BG87" s="122">
        <f>SUM(BG85:BG86)</f>
        <v>0</v>
      </c>
      <c r="BH87" s="122">
        <f>SUM(BH85:BH86)</f>
        <v>10000</v>
      </c>
      <c r="BJ87" s="122">
        <f>SUM(BJ85:BJ86)</f>
        <v>10000</v>
      </c>
      <c r="BK87" s="236">
        <f t="shared" si="267"/>
        <v>1</v>
      </c>
      <c r="BM87" s="122">
        <f>SUM(BM85:BM86)</f>
        <v>10000</v>
      </c>
      <c r="BN87" s="236">
        <f t="shared" si="268"/>
        <v>1</v>
      </c>
      <c r="BO87" s="236">
        <f t="shared" si="269"/>
        <v>1</v>
      </c>
      <c r="BQ87" s="122">
        <f>SUM(BQ85:BQ86)</f>
        <v>0</v>
      </c>
      <c r="BR87" s="122">
        <f>SUM(BR85:BR86)</f>
        <v>10000</v>
      </c>
      <c r="BT87" s="122">
        <f>SUM(BT85:BT86)</f>
        <v>0</v>
      </c>
      <c r="BU87" s="122">
        <f>SUM(BU85:BU86)</f>
        <v>10000</v>
      </c>
      <c r="BW87" s="122">
        <f>SUM(BW85:BW86)</f>
        <v>0</v>
      </c>
      <c r="BX87" s="122">
        <f>SUM(BX85:BX86)</f>
        <v>10000</v>
      </c>
      <c r="BZ87" s="122">
        <f>SUM(BZ85:BZ86)</f>
        <v>0</v>
      </c>
      <c r="CA87" s="122">
        <f>SUM(CA85:CA86)</f>
        <v>10000</v>
      </c>
      <c r="CC87" s="122">
        <f>SUM(CC85:CC86)</f>
        <v>0</v>
      </c>
      <c r="CD87" s="122">
        <f>SUM(CD85:CD86)</f>
        <v>10000</v>
      </c>
      <c r="CF87" s="122">
        <f>SUM(CF85:CF86)</f>
        <v>0</v>
      </c>
      <c r="CG87" s="122">
        <f>SUM(CG85:CG86)</f>
        <v>10000</v>
      </c>
      <c r="CI87" s="122">
        <f>SUM(CI85:CI86)</f>
        <v>0</v>
      </c>
      <c r="CJ87" s="122">
        <f>SUM(CJ85:CJ86)</f>
        <v>10000</v>
      </c>
      <c r="CL87" s="319">
        <f>SUM(CL85:CL86)</f>
        <v>0</v>
      </c>
      <c r="CM87" s="122">
        <f>SUM(CM85:CM86)</f>
        <v>10000</v>
      </c>
      <c r="CO87" s="122">
        <f>SUM(CO85:CO86)</f>
        <v>0</v>
      </c>
      <c r="CP87" s="122">
        <f>SUM(CP85:CP86)</f>
        <v>10000</v>
      </c>
      <c r="CR87" s="122">
        <f>SUM(CR85:CR86)</f>
        <v>0</v>
      </c>
      <c r="CS87" s="122">
        <f>SUM(CS85:CS86)</f>
        <v>10000</v>
      </c>
      <c r="CU87" s="122">
        <f>SUM(CU85:CU86)</f>
        <v>0</v>
      </c>
      <c r="CV87" s="122">
        <f>SUM(CV85:CV86)</f>
        <v>10000</v>
      </c>
      <c r="CX87" s="122">
        <f>SUM(CX85:CX86)</f>
        <v>0</v>
      </c>
      <c r="CY87" s="122">
        <f>SUM(CY85:CY86)</f>
        <v>10000</v>
      </c>
      <c r="DA87" s="122">
        <f>SUM(DA85:DA86)</f>
        <v>10000</v>
      </c>
      <c r="DC87" s="122">
        <f>SUM(DC85:DC86)</f>
        <v>10000</v>
      </c>
      <c r="DE87" s="122">
        <f>SUM(DE85:DE86)</f>
        <v>0</v>
      </c>
      <c r="DF87" s="122">
        <f>SUM(DF85:DF86)</f>
        <v>10000</v>
      </c>
      <c r="DH87" s="122">
        <f>SUM(DH85:DH86)</f>
        <v>0</v>
      </c>
      <c r="DI87" s="122">
        <f>SUM(DI85:DI86)</f>
        <v>10000</v>
      </c>
      <c r="DK87" s="122">
        <f>SUM(DK85:DK86)</f>
        <v>0</v>
      </c>
      <c r="DL87" s="122">
        <f>SUM(DL85:DL86)</f>
        <v>10000</v>
      </c>
      <c r="DN87" s="122">
        <f>SUM(DN85:DN86)</f>
        <v>0</v>
      </c>
      <c r="DO87" s="122">
        <f>SUM(DO85:DO86)</f>
        <v>10000</v>
      </c>
      <c r="DQ87" s="122">
        <f>SUM(DQ85:DQ86)</f>
        <v>0</v>
      </c>
      <c r="DR87" s="122">
        <f>SUM(DR85:DR86)</f>
        <v>10000</v>
      </c>
      <c r="DT87" s="122">
        <f>SUM(DT85:DT86)</f>
        <v>0</v>
      </c>
      <c r="DU87" s="122">
        <f>SUM(DU85:DU86)</f>
        <v>10000</v>
      </c>
      <c r="DW87" s="122">
        <f>SUM(DW85:DW86)</f>
        <v>0</v>
      </c>
      <c r="DX87" s="122">
        <f>SUM(DX85:DX86)</f>
        <v>10000</v>
      </c>
      <c r="DZ87" s="122">
        <f>SUM(DZ85:DZ86)</f>
        <v>0</v>
      </c>
      <c r="EA87" s="122">
        <f>SUM(EA85:EA86)</f>
        <v>10000</v>
      </c>
      <c r="EC87" s="122">
        <f>SUM(EC85:EC86)</f>
        <v>0</v>
      </c>
      <c r="ED87" s="122">
        <f>SUM(ED85:ED86)</f>
        <v>10000</v>
      </c>
      <c r="EF87" s="122">
        <f>SUM(EF85:EF86)</f>
        <v>0</v>
      </c>
      <c r="EG87" s="122">
        <f>SUM(EG85:EG86)</f>
        <v>10000</v>
      </c>
      <c r="EI87" s="122">
        <f>SUM(EI85:EI86)</f>
        <v>10000</v>
      </c>
      <c r="EK87" s="122">
        <f>SUM(EK85:EK86)</f>
        <v>10000</v>
      </c>
      <c r="EL87" s="377">
        <f>EK87/EI87-1</f>
        <v>0</v>
      </c>
      <c r="EM87" s="122">
        <f>SUM(EM85:EM86)</f>
        <v>0</v>
      </c>
      <c r="EN87" s="122">
        <f>SUM(EN85:EN86)</f>
        <v>10000</v>
      </c>
      <c r="EP87" s="122">
        <f>SUM(EP85:EP86)</f>
        <v>0</v>
      </c>
      <c r="EQ87" s="122">
        <f>SUM(EQ85:EQ86)</f>
        <v>10000</v>
      </c>
      <c r="ES87" s="122">
        <f>SUM(ES85:ES86)</f>
        <v>0</v>
      </c>
      <c r="ET87" s="122">
        <f>SUM(ET85:ET86)</f>
        <v>10000</v>
      </c>
      <c r="EV87" s="122">
        <f>SUM(EV85:EV86)</f>
        <v>0</v>
      </c>
      <c r="EW87" s="122">
        <f>SUM(EW85:EW86)</f>
        <v>10000</v>
      </c>
      <c r="EY87" s="122">
        <f>SUM(EY85:EY86)</f>
        <v>0</v>
      </c>
      <c r="EZ87" s="122">
        <f>SUM(EZ85:EZ86)</f>
        <v>10000</v>
      </c>
      <c r="FB87" s="122">
        <f>SUM(FB85:FB86)</f>
        <v>0</v>
      </c>
      <c r="FC87" s="122">
        <f>SUM(FC85:FC86)</f>
        <v>10000</v>
      </c>
      <c r="FE87" s="122">
        <f>SUM(FE85:FE86)</f>
        <v>0</v>
      </c>
      <c r="FF87" s="122">
        <f>SUM(FF85:FF86)</f>
        <v>10000</v>
      </c>
      <c r="FH87" s="122">
        <f>SUM(FH85:FH86)</f>
        <v>0</v>
      </c>
      <c r="FI87" s="122">
        <f>SUM(FI85:FI86)</f>
        <v>10000</v>
      </c>
      <c r="FK87" s="122">
        <f>SUM(FK85:FK86)</f>
        <v>-1772</v>
      </c>
      <c r="FL87" s="122">
        <f>SUM(FL85:FL86)</f>
        <v>8228</v>
      </c>
      <c r="FN87" s="122">
        <f>SUM(FN85:FN86)</f>
        <v>0</v>
      </c>
      <c r="FO87" s="122">
        <f>SUM(FO85:FO86)</f>
        <v>8228</v>
      </c>
      <c r="FQ87" s="122">
        <v>0</v>
      </c>
      <c r="FR87" s="122">
        <v>8228</v>
      </c>
      <c r="FT87" s="122">
        <f>SUM(FT85:FT86)</f>
        <v>8228</v>
      </c>
      <c r="FV87" s="122">
        <f>SUM(FV85:FV86)</f>
        <v>10000</v>
      </c>
      <c r="FW87" s="235">
        <f t="shared" si="290"/>
        <v>1.2153621779290229</v>
      </c>
    </row>
    <row r="88" spans="1:179" ht="17.25" customHeight="1" thickTop="1">
      <c r="A88" s="1" t="s">
        <v>165</v>
      </c>
      <c r="B88" s="1" t="s">
        <v>183</v>
      </c>
      <c r="C88" s="4" t="s">
        <v>184</v>
      </c>
      <c r="D88" s="323"/>
      <c r="E88" s="324"/>
      <c r="F88" s="323"/>
      <c r="G88" s="324"/>
      <c r="H88" s="323"/>
      <c r="I88" s="323"/>
      <c r="J88" s="325"/>
      <c r="K88" s="326"/>
      <c r="L88" s="121"/>
      <c r="M88" s="328"/>
      <c r="N88" s="328"/>
      <c r="O88" s="17"/>
      <c r="P88" s="17"/>
      <c r="Q88" s="327"/>
      <c r="R88" s="327"/>
      <c r="S88" s="327"/>
      <c r="T88" s="327"/>
      <c r="U88" s="155"/>
      <c r="Y88" s="327"/>
      <c r="AA88" s="327"/>
      <c r="AB88" s="327"/>
      <c r="AE88" s="121"/>
      <c r="AF88" s="187"/>
      <c r="AH88" s="121"/>
      <c r="AI88" s="224"/>
      <c r="AK88" s="121"/>
      <c r="AL88" s="193"/>
      <c r="AM88" s="17"/>
      <c r="AN88" s="17"/>
      <c r="AS88" s="327"/>
      <c r="AU88" s="327"/>
      <c r="AV88" s="327"/>
      <c r="AX88" s="327"/>
      <c r="AY88" s="327"/>
      <c r="BA88" s="327"/>
      <c r="BB88" s="327"/>
      <c r="BD88" s="327"/>
      <c r="BE88" s="327"/>
      <c r="BG88" s="121"/>
      <c r="BH88" s="121"/>
      <c r="BJ88" s="121"/>
      <c r="BK88" s="291"/>
      <c r="BM88" s="121"/>
      <c r="BN88" s="291"/>
      <c r="BO88" s="291"/>
      <c r="BQ88" s="327"/>
      <c r="BR88" s="327"/>
      <c r="BT88" s="327"/>
      <c r="BU88" s="327"/>
      <c r="BW88" s="327"/>
      <c r="BX88" s="327"/>
      <c r="BZ88" s="327"/>
      <c r="CA88" s="327"/>
      <c r="CC88" s="327"/>
      <c r="CD88" s="327"/>
      <c r="CF88" s="327"/>
      <c r="CG88" s="327"/>
      <c r="CI88" s="327"/>
      <c r="CJ88" s="327"/>
      <c r="CL88" s="121"/>
      <c r="CM88" s="327"/>
      <c r="CO88" s="327"/>
      <c r="CP88" s="327"/>
      <c r="CR88" s="327"/>
      <c r="CS88" s="327"/>
      <c r="CU88" s="327"/>
      <c r="CV88" s="327"/>
      <c r="CX88" s="121"/>
      <c r="CY88" s="121"/>
      <c r="DA88" s="121"/>
      <c r="DC88" s="121"/>
      <c r="DE88" s="327"/>
      <c r="DF88" s="327"/>
      <c r="DH88" s="327"/>
      <c r="DI88" s="327"/>
      <c r="DK88" s="327"/>
      <c r="DL88" s="327"/>
      <c r="DN88" s="327"/>
      <c r="DO88" s="327"/>
      <c r="DQ88" s="327"/>
      <c r="DR88" s="327"/>
      <c r="DT88" s="327"/>
      <c r="DU88" s="327"/>
      <c r="DW88" s="327"/>
      <c r="DX88" s="327"/>
      <c r="DZ88" s="327"/>
      <c r="EA88" s="327"/>
      <c r="EC88" s="327"/>
      <c r="ED88" s="327"/>
      <c r="EF88" s="121"/>
      <c r="EG88" s="121"/>
      <c r="EI88" s="121"/>
      <c r="EK88" s="36">
        <v>35000</v>
      </c>
      <c r="EL88" s="403"/>
      <c r="EM88" s="121"/>
      <c r="EN88" s="15">
        <f t="shared" ref="EN88:EN91" si="291">EK88+EM88</f>
        <v>35000</v>
      </c>
      <c r="EP88" s="121"/>
      <c r="EQ88" s="15">
        <f t="shared" ref="EQ88:EQ96" si="292">EN88+EP88</f>
        <v>35000</v>
      </c>
      <c r="ES88" s="121"/>
      <c r="ET88" s="15">
        <f t="shared" ref="ET88:ET96" si="293">EQ88+ES88</f>
        <v>35000</v>
      </c>
      <c r="EV88" s="121"/>
      <c r="EW88" s="15">
        <f t="shared" ref="EW88:EW96" si="294">ET88+EV88</f>
        <v>35000</v>
      </c>
      <c r="EY88" s="121"/>
      <c r="EZ88" s="15">
        <f t="shared" ref="EZ88:EZ96" si="295">EW88+EY88</f>
        <v>35000</v>
      </c>
      <c r="FB88" s="121"/>
      <c r="FC88" s="15">
        <f t="shared" ref="FC88:FC96" si="296">EZ88+FB88</f>
        <v>35000</v>
      </c>
      <c r="FE88" s="121"/>
      <c r="FF88" s="15">
        <f t="shared" ref="FF88:FF96" si="297">FC88+FE88</f>
        <v>35000</v>
      </c>
      <c r="FH88" s="121"/>
      <c r="FI88" s="15">
        <f t="shared" ref="FI88:FI96" si="298">FF88+FH88</f>
        <v>35000</v>
      </c>
      <c r="FK88" s="299">
        <v>-35000</v>
      </c>
      <c r="FL88" s="15">
        <f t="shared" ref="FL88:FL96" si="299">FI88+FK88</f>
        <v>0</v>
      </c>
      <c r="FN88" s="36"/>
      <c r="FO88" s="15">
        <f t="shared" ref="FO88:FO96" si="300">FL88+FN88</f>
        <v>0</v>
      </c>
      <c r="FQ88" s="36"/>
      <c r="FR88" s="15">
        <v>0</v>
      </c>
      <c r="FT88" s="121"/>
      <c r="FV88" s="121"/>
    </row>
    <row r="89" spans="1:179" ht="17.25" customHeight="1">
      <c r="A89" s="1" t="s">
        <v>165</v>
      </c>
      <c r="B89" s="1" t="s">
        <v>142</v>
      </c>
      <c r="C89" s="4" t="s">
        <v>143</v>
      </c>
      <c r="D89" s="323"/>
      <c r="E89" s="324"/>
      <c r="F89" s="323"/>
      <c r="G89" s="324"/>
      <c r="H89" s="323"/>
      <c r="I89" s="323"/>
      <c r="J89" s="325"/>
      <c r="K89" s="326"/>
      <c r="L89" s="121"/>
      <c r="M89" s="328"/>
      <c r="N89" s="328"/>
      <c r="O89" s="17"/>
      <c r="P89" s="17"/>
      <c r="Q89" s="327"/>
      <c r="R89" s="327"/>
      <c r="S89" s="327"/>
      <c r="T89" s="327"/>
      <c r="U89" s="155"/>
      <c r="Y89" s="327"/>
      <c r="AA89" s="327"/>
      <c r="AB89" s="327"/>
      <c r="AE89" s="121"/>
      <c r="AF89" s="187"/>
      <c r="AH89" s="121"/>
      <c r="AI89" s="224"/>
      <c r="AK89" s="121"/>
      <c r="AL89" s="193"/>
      <c r="AM89" s="17"/>
      <c r="AN89" s="17"/>
      <c r="AS89" s="327"/>
      <c r="AU89" s="327"/>
      <c r="AV89" s="327"/>
      <c r="AX89" s="327"/>
      <c r="AY89" s="327"/>
      <c r="BA89" s="327"/>
      <c r="BB89" s="327"/>
      <c r="BD89" s="327"/>
      <c r="BE89" s="327"/>
      <c r="BG89" s="121"/>
      <c r="BH89" s="121"/>
      <c r="BJ89" s="121"/>
      <c r="BK89" s="291"/>
      <c r="BM89" s="121"/>
      <c r="BN89" s="291"/>
      <c r="BO89" s="291"/>
      <c r="BQ89" s="327"/>
      <c r="BR89" s="327"/>
      <c r="BT89" s="327"/>
      <c r="BU89" s="327"/>
      <c r="BW89" s="327"/>
      <c r="BX89" s="327"/>
      <c r="BZ89" s="327"/>
      <c r="CA89" s="327"/>
      <c r="CC89" s="327"/>
      <c r="CD89" s="327"/>
      <c r="CF89" s="327"/>
      <c r="CG89" s="327"/>
      <c r="CI89" s="327"/>
      <c r="CJ89" s="327"/>
      <c r="CL89" s="121"/>
      <c r="CM89" s="327"/>
      <c r="CO89" s="327"/>
      <c r="CP89" s="327"/>
      <c r="CR89" s="327"/>
      <c r="CS89" s="327"/>
      <c r="CU89" s="327"/>
      <c r="CV89" s="327"/>
      <c r="CX89" s="121"/>
      <c r="CY89" s="121"/>
      <c r="DA89" s="121"/>
      <c r="DC89" s="121"/>
      <c r="DE89" s="327"/>
      <c r="DF89" s="327"/>
      <c r="DH89" s="327"/>
      <c r="DI89" s="327"/>
      <c r="DK89" s="327"/>
      <c r="DL89" s="327"/>
      <c r="DN89" s="327"/>
      <c r="DO89" s="327"/>
      <c r="DQ89" s="327"/>
      <c r="DR89" s="327"/>
      <c r="DT89" s="327"/>
      <c r="DU89" s="327"/>
      <c r="DW89" s="327"/>
      <c r="DX89" s="327"/>
      <c r="DZ89" s="327"/>
      <c r="EA89" s="327"/>
      <c r="EC89" s="327"/>
      <c r="ED89" s="327"/>
      <c r="EF89" s="121"/>
      <c r="EG89" s="121"/>
      <c r="EI89" s="121"/>
      <c r="EK89" s="36">
        <v>30000</v>
      </c>
      <c r="EL89" s="403"/>
      <c r="EM89" s="121"/>
      <c r="EN89" s="15">
        <f t="shared" si="291"/>
        <v>30000</v>
      </c>
      <c r="EP89" s="121"/>
      <c r="EQ89" s="15">
        <f t="shared" si="292"/>
        <v>30000</v>
      </c>
      <c r="ES89" s="121"/>
      <c r="ET89" s="15">
        <f t="shared" si="293"/>
        <v>30000</v>
      </c>
      <c r="EV89" s="121"/>
      <c r="EW89" s="15">
        <f t="shared" si="294"/>
        <v>30000</v>
      </c>
      <c r="EY89" s="121"/>
      <c r="EZ89" s="15">
        <f t="shared" si="295"/>
        <v>30000</v>
      </c>
      <c r="FB89" s="121"/>
      <c r="FC89" s="15">
        <f t="shared" si="296"/>
        <v>30000</v>
      </c>
      <c r="FE89" s="121"/>
      <c r="FF89" s="15">
        <f t="shared" si="297"/>
        <v>30000</v>
      </c>
      <c r="FH89" s="121"/>
      <c r="FI89" s="15">
        <f t="shared" si="298"/>
        <v>30000</v>
      </c>
      <c r="FK89" s="299">
        <v>-30000</v>
      </c>
      <c r="FL89" s="15">
        <f t="shared" si="299"/>
        <v>0</v>
      </c>
      <c r="FN89" s="36"/>
      <c r="FO89" s="15">
        <f t="shared" si="300"/>
        <v>0</v>
      </c>
      <c r="FQ89" s="36"/>
      <c r="FR89" s="15">
        <v>0</v>
      </c>
      <c r="FT89" s="121"/>
      <c r="FV89" s="121"/>
    </row>
    <row r="90" spans="1:179" ht="17.25" customHeight="1">
      <c r="A90" s="1" t="s">
        <v>165</v>
      </c>
      <c r="B90" s="1" t="s">
        <v>185</v>
      </c>
      <c r="C90" s="4" t="s">
        <v>186</v>
      </c>
      <c r="D90" s="323"/>
      <c r="E90" s="324"/>
      <c r="F90" s="323"/>
      <c r="G90" s="324"/>
      <c r="H90" s="323"/>
      <c r="I90" s="323"/>
      <c r="J90" s="325"/>
      <c r="K90" s="326"/>
      <c r="L90" s="121"/>
      <c r="M90" s="328"/>
      <c r="N90" s="328"/>
      <c r="O90" s="17"/>
      <c r="P90" s="17"/>
      <c r="Q90" s="327"/>
      <c r="R90" s="327"/>
      <c r="S90" s="327"/>
      <c r="T90" s="327"/>
      <c r="U90" s="155"/>
      <c r="Y90" s="327"/>
      <c r="AA90" s="327"/>
      <c r="AB90" s="327"/>
      <c r="AE90" s="121"/>
      <c r="AF90" s="187"/>
      <c r="AH90" s="121"/>
      <c r="AI90" s="224"/>
      <c r="AK90" s="121"/>
      <c r="AL90" s="193"/>
      <c r="AM90" s="17"/>
      <c r="AN90" s="17"/>
      <c r="AS90" s="327"/>
      <c r="AU90" s="327"/>
      <c r="AV90" s="327"/>
      <c r="AX90" s="327"/>
      <c r="AY90" s="327"/>
      <c r="BA90" s="327"/>
      <c r="BB90" s="327"/>
      <c r="BD90" s="327"/>
      <c r="BE90" s="327"/>
      <c r="BG90" s="121"/>
      <c r="BH90" s="121"/>
      <c r="BJ90" s="121"/>
      <c r="BK90" s="291"/>
      <c r="BM90" s="121"/>
      <c r="BN90" s="291"/>
      <c r="BO90" s="291"/>
      <c r="BQ90" s="327"/>
      <c r="BR90" s="327"/>
      <c r="BT90" s="327"/>
      <c r="BU90" s="327"/>
      <c r="BW90" s="327"/>
      <c r="BX90" s="327"/>
      <c r="BZ90" s="327"/>
      <c r="CA90" s="327"/>
      <c r="CC90" s="327"/>
      <c r="CD90" s="327"/>
      <c r="CF90" s="327"/>
      <c r="CG90" s="327"/>
      <c r="CI90" s="327"/>
      <c r="CJ90" s="327"/>
      <c r="CL90" s="121"/>
      <c r="CM90" s="327"/>
      <c r="CO90" s="327"/>
      <c r="CP90" s="327"/>
      <c r="CR90" s="327"/>
      <c r="CS90" s="327"/>
      <c r="CU90" s="327"/>
      <c r="CV90" s="327"/>
      <c r="CX90" s="121"/>
      <c r="CY90" s="121"/>
      <c r="DA90" s="121"/>
      <c r="DC90" s="121"/>
      <c r="DE90" s="327"/>
      <c r="DF90" s="327"/>
      <c r="DH90" s="327"/>
      <c r="DI90" s="327"/>
      <c r="DK90" s="327"/>
      <c r="DL90" s="327"/>
      <c r="DN90" s="327"/>
      <c r="DO90" s="327"/>
      <c r="DQ90" s="327"/>
      <c r="DR90" s="327"/>
      <c r="DT90" s="327"/>
      <c r="DU90" s="327"/>
      <c r="DW90" s="327"/>
      <c r="DX90" s="327"/>
      <c r="DZ90" s="327"/>
      <c r="EA90" s="327"/>
      <c r="EC90" s="327"/>
      <c r="ED90" s="327"/>
      <c r="EF90" s="121"/>
      <c r="EG90" s="121"/>
      <c r="EI90" s="121"/>
      <c r="EK90" s="36">
        <v>7000</v>
      </c>
      <c r="EL90" s="403"/>
      <c r="EM90" s="121"/>
      <c r="EN90" s="15">
        <f t="shared" si="291"/>
        <v>7000</v>
      </c>
      <c r="EP90" s="121"/>
      <c r="EQ90" s="15">
        <f t="shared" si="292"/>
        <v>7000</v>
      </c>
      <c r="ES90" s="121"/>
      <c r="ET90" s="15">
        <f t="shared" si="293"/>
        <v>7000</v>
      </c>
      <c r="EV90" s="121"/>
      <c r="EW90" s="15">
        <f t="shared" si="294"/>
        <v>7000</v>
      </c>
      <c r="EY90" s="121"/>
      <c r="EZ90" s="15">
        <f t="shared" si="295"/>
        <v>7000</v>
      </c>
      <c r="FB90" s="121"/>
      <c r="FC90" s="15">
        <f t="shared" si="296"/>
        <v>7000</v>
      </c>
      <c r="FE90" s="121"/>
      <c r="FF90" s="15">
        <f t="shared" si="297"/>
        <v>7000</v>
      </c>
      <c r="FH90" s="121"/>
      <c r="FI90" s="15">
        <f t="shared" si="298"/>
        <v>7000</v>
      </c>
      <c r="FK90" s="299">
        <v>-7000</v>
      </c>
      <c r="FL90" s="15">
        <f t="shared" si="299"/>
        <v>0</v>
      </c>
      <c r="FN90" s="36"/>
      <c r="FO90" s="15">
        <f t="shared" si="300"/>
        <v>0</v>
      </c>
      <c r="FQ90" s="36"/>
      <c r="FR90" s="15">
        <v>0</v>
      </c>
      <c r="FT90" s="121"/>
      <c r="FV90" s="121"/>
    </row>
    <row r="91" spans="1:179" ht="17.25" customHeight="1">
      <c r="A91" s="1" t="s">
        <v>165</v>
      </c>
      <c r="B91" s="1" t="s">
        <v>187</v>
      </c>
      <c r="C91" s="4" t="s">
        <v>188</v>
      </c>
      <c r="D91" s="323"/>
      <c r="E91" s="324"/>
      <c r="F91" s="323"/>
      <c r="G91" s="324"/>
      <c r="H91" s="323"/>
      <c r="I91" s="323"/>
      <c r="J91" s="325"/>
      <c r="K91" s="326"/>
      <c r="L91" s="121"/>
      <c r="M91" s="328"/>
      <c r="N91" s="328"/>
      <c r="O91" s="17"/>
      <c r="P91" s="17"/>
      <c r="Q91" s="327"/>
      <c r="R91" s="327"/>
      <c r="S91" s="327"/>
      <c r="T91" s="327"/>
      <c r="U91" s="155"/>
      <c r="Y91" s="327"/>
      <c r="AA91" s="327"/>
      <c r="AB91" s="327"/>
      <c r="AE91" s="121"/>
      <c r="AF91" s="187"/>
      <c r="AH91" s="121"/>
      <c r="AI91" s="224"/>
      <c r="AK91" s="121"/>
      <c r="AL91" s="193"/>
      <c r="AM91" s="17"/>
      <c r="AN91" s="17"/>
      <c r="AS91" s="327"/>
      <c r="AU91" s="327"/>
      <c r="AV91" s="327"/>
      <c r="AX91" s="327"/>
      <c r="AY91" s="327"/>
      <c r="BA91" s="327"/>
      <c r="BB91" s="327"/>
      <c r="BD91" s="327"/>
      <c r="BE91" s="327"/>
      <c r="BG91" s="121"/>
      <c r="BH91" s="121"/>
      <c r="BJ91" s="121"/>
      <c r="BK91" s="291"/>
      <c r="BM91" s="121"/>
      <c r="BN91" s="291"/>
      <c r="BO91" s="291"/>
      <c r="BQ91" s="327"/>
      <c r="BR91" s="327"/>
      <c r="BT91" s="327"/>
      <c r="BU91" s="327"/>
      <c r="BW91" s="327"/>
      <c r="BX91" s="327"/>
      <c r="BZ91" s="327"/>
      <c r="CA91" s="327"/>
      <c r="CC91" s="327"/>
      <c r="CD91" s="327"/>
      <c r="CF91" s="327"/>
      <c r="CG91" s="327"/>
      <c r="CI91" s="327"/>
      <c r="CJ91" s="327"/>
      <c r="CL91" s="121"/>
      <c r="CM91" s="327"/>
      <c r="CO91" s="327"/>
      <c r="CP91" s="327"/>
      <c r="CR91" s="327"/>
      <c r="CS91" s="327"/>
      <c r="CU91" s="327"/>
      <c r="CV91" s="327"/>
      <c r="CX91" s="121"/>
      <c r="CY91" s="121"/>
      <c r="DA91" s="121"/>
      <c r="DC91" s="121"/>
      <c r="DE91" s="327"/>
      <c r="DF91" s="327"/>
      <c r="DH91" s="327"/>
      <c r="DI91" s="327"/>
      <c r="DK91" s="327"/>
      <c r="DL91" s="327"/>
      <c r="DN91" s="327"/>
      <c r="DO91" s="327"/>
      <c r="DQ91" s="327"/>
      <c r="DR91" s="327"/>
      <c r="DT91" s="327"/>
      <c r="DU91" s="327"/>
      <c r="DW91" s="327"/>
      <c r="DX91" s="327"/>
      <c r="DZ91" s="327"/>
      <c r="EA91" s="327"/>
      <c r="EC91" s="327"/>
      <c r="ED91" s="327"/>
      <c r="EF91" s="121"/>
      <c r="EG91" s="121"/>
      <c r="EI91" s="121"/>
      <c r="EK91" s="36">
        <v>3000</v>
      </c>
      <c r="EL91" s="403"/>
      <c r="EM91" s="121"/>
      <c r="EN91" s="15">
        <f t="shared" si="291"/>
        <v>3000</v>
      </c>
      <c r="EP91" s="121"/>
      <c r="EQ91" s="15">
        <f t="shared" si="292"/>
        <v>3000</v>
      </c>
      <c r="ES91" s="121"/>
      <c r="ET91" s="15">
        <f t="shared" si="293"/>
        <v>3000</v>
      </c>
      <c r="EV91" s="121"/>
      <c r="EW91" s="15">
        <f t="shared" si="294"/>
        <v>3000</v>
      </c>
      <c r="EY91" s="121"/>
      <c r="EZ91" s="15">
        <f t="shared" si="295"/>
        <v>3000</v>
      </c>
      <c r="FB91" s="121"/>
      <c r="FC91" s="15">
        <f t="shared" si="296"/>
        <v>3000</v>
      </c>
      <c r="FE91" s="121"/>
      <c r="FF91" s="15">
        <f t="shared" si="297"/>
        <v>3000</v>
      </c>
      <c r="FH91" s="121"/>
      <c r="FI91" s="15">
        <f t="shared" si="298"/>
        <v>3000</v>
      </c>
      <c r="FK91" s="299">
        <v>-3000</v>
      </c>
      <c r="FL91" s="15">
        <f t="shared" si="299"/>
        <v>0</v>
      </c>
      <c r="FN91" s="36"/>
      <c r="FO91" s="15">
        <f t="shared" si="300"/>
        <v>0</v>
      </c>
      <c r="FQ91" s="36"/>
      <c r="FR91" s="15">
        <v>0</v>
      </c>
      <c r="FT91" s="121"/>
      <c r="FV91" s="121"/>
    </row>
    <row r="92" spans="1:179" outlineLevel="1">
      <c r="A92" s="1" t="s">
        <v>165</v>
      </c>
      <c r="B92" s="1" t="s">
        <v>113</v>
      </c>
      <c r="C92" s="458" t="s">
        <v>487</v>
      </c>
      <c r="D92" s="458"/>
      <c r="E92" s="458"/>
      <c r="F92" s="458"/>
      <c r="G92" s="458"/>
      <c r="H92" s="458"/>
      <c r="I92" s="458"/>
      <c r="J92" s="458"/>
      <c r="K92" s="458"/>
      <c r="L92" s="458"/>
      <c r="M92" s="458"/>
      <c r="N92" s="458"/>
      <c r="O92" s="458"/>
      <c r="P92" s="458"/>
      <c r="Q92" s="458"/>
      <c r="AF92" s="182"/>
      <c r="AH92" s="15"/>
      <c r="AX92" s="15"/>
      <c r="BA92" s="227">
        <v>5000</v>
      </c>
      <c r="BB92" s="15">
        <f t="shared" ref="BB92:BB95" si="301">AY92+BA92</f>
        <v>5000</v>
      </c>
      <c r="BD92" s="15"/>
      <c r="BE92" s="15">
        <f t="shared" ref="BE92:BE95" si="302">BB92+BD92</f>
        <v>5000</v>
      </c>
      <c r="BG92" s="15"/>
      <c r="BH92" s="15">
        <f t="shared" ref="BH92:BH95" si="303">BE92+BG92</f>
        <v>5000</v>
      </c>
      <c r="BJ92" s="15">
        <v>3315</v>
      </c>
      <c r="BK92" s="235">
        <f t="shared" ref="BK92:BK95" si="304">BJ92/BH92</f>
        <v>0.66300000000000003</v>
      </c>
      <c r="BM92" s="15">
        <v>3000</v>
      </c>
      <c r="BN92" s="235">
        <f t="shared" ref="BN92:BN95" si="305">BM92/BJ92</f>
        <v>0.90497737556561086</v>
      </c>
      <c r="BO92" s="235">
        <f t="shared" ref="BO92:BO95" si="306">BM92/BH92</f>
        <v>0.6</v>
      </c>
      <c r="BQ92" s="15"/>
      <c r="BR92" s="15">
        <f t="shared" ref="BR92:BR95" si="307">BM92+BQ92</f>
        <v>3000</v>
      </c>
      <c r="BT92" s="15"/>
      <c r="BU92" s="15">
        <f>BR92+BT92</f>
        <v>3000</v>
      </c>
      <c r="BW92" s="15"/>
      <c r="BX92" s="15">
        <f>BU92+BW92</f>
        <v>3000</v>
      </c>
      <c r="BZ92" s="15"/>
      <c r="CA92" s="15">
        <f t="shared" ref="CA92:CA97" si="308">BX92+BZ92</f>
        <v>3000</v>
      </c>
      <c r="CC92" s="15"/>
      <c r="CD92" s="15">
        <f t="shared" ref="CD92:CD97" si="309">CA92+CC92</f>
        <v>3000</v>
      </c>
      <c r="CF92" s="15"/>
      <c r="CG92" s="15">
        <f t="shared" ref="CG92:CG97" si="310">CD92+CF92</f>
        <v>3000</v>
      </c>
      <c r="CI92" s="15"/>
      <c r="CJ92" s="15">
        <f t="shared" ref="CJ92:CJ97" si="311">CG92+CI92</f>
        <v>3000</v>
      </c>
      <c r="CM92" s="15">
        <f t="shared" ref="CM92:CM97" si="312">CJ92+CL92</f>
        <v>3000</v>
      </c>
      <c r="CP92" s="15">
        <f t="shared" ref="CP92:CP97" si="313">CM92+CO92</f>
        <v>3000</v>
      </c>
      <c r="CS92" s="15">
        <f t="shared" ref="CS92:CS97" si="314">CP92+CR92</f>
        <v>3000</v>
      </c>
      <c r="CU92" s="227">
        <v>-3000</v>
      </c>
      <c r="CV92" s="15">
        <f t="shared" ref="CV92:CV97" si="315">CS92+CU92</f>
        <v>0</v>
      </c>
      <c r="CX92" s="227"/>
      <c r="CY92" s="15">
        <f t="shared" ref="CY92:CY97" si="316">CV92+CX92</f>
        <v>0</v>
      </c>
      <c r="DE92" s="15"/>
      <c r="DF92" s="15">
        <f t="shared" ref="DF92:DF95" si="317">DC92+DE92</f>
        <v>0</v>
      </c>
      <c r="DH92" s="227">
        <v>15000</v>
      </c>
      <c r="DI92" s="15">
        <f t="shared" ref="DI92:DI95" si="318">DF92+DH92</f>
        <v>15000</v>
      </c>
      <c r="DK92" s="15"/>
      <c r="DL92" s="15">
        <f t="shared" ref="DL92:DL95" si="319">DI92+DK92</f>
        <v>15000</v>
      </c>
      <c r="DN92" s="15"/>
      <c r="DO92" s="15">
        <f t="shared" ref="DO92:DO95" si="320">DL92+DN92</f>
        <v>15000</v>
      </c>
      <c r="DQ92" s="227">
        <v>3000</v>
      </c>
      <c r="DR92" s="15">
        <f t="shared" ref="DR92:DR96" si="321">DO92+DQ92</f>
        <v>18000</v>
      </c>
      <c r="DT92" s="15"/>
      <c r="DU92" s="15">
        <f t="shared" ref="DU92:DU96" si="322">DR92+DT92</f>
        <v>18000</v>
      </c>
      <c r="DW92" s="15"/>
      <c r="DX92" s="15">
        <f t="shared" ref="DX92:DX96" si="323">DU92+DW92</f>
        <v>18000</v>
      </c>
      <c r="DZ92" s="15"/>
      <c r="EA92" s="15">
        <f t="shared" ref="EA92:EA96" si="324">DX92+DZ92</f>
        <v>18000</v>
      </c>
      <c r="EC92" s="227">
        <v>-3000</v>
      </c>
      <c r="ED92" s="15">
        <f t="shared" ref="ED92:ED96" si="325">EA92+EC92</f>
        <v>15000</v>
      </c>
      <c r="EF92" s="15"/>
      <c r="EG92" s="15">
        <f t="shared" ref="EG92:EG96" si="326">ED92+EF92</f>
        <v>15000</v>
      </c>
      <c r="EI92" s="15">
        <v>14930</v>
      </c>
      <c r="EK92" s="15">
        <v>0</v>
      </c>
      <c r="EM92" s="15"/>
      <c r="EN92" s="15">
        <f t="shared" ref="EN92:EN96" si="327">EK92+EM92</f>
        <v>0</v>
      </c>
      <c r="EP92" s="15"/>
      <c r="EQ92" s="15">
        <f t="shared" si="292"/>
        <v>0</v>
      </c>
      <c r="ES92" s="15"/>
      <c r="ET92" s="15">
        <f t="shared" si="293"/>
        <v>0</v>
      </c>
      <c r="EW92" s="15">
        <f t="shared" si="294"/>
        <v>0</v>
      </c>
      <c r="EZ92" s="15">
        <f t="shared" si="295"/>
        <v>0</v>
      </c>
      <c r="FC92" s="15">
        <f t="shared" si="296"/>
        <v>0</v>
      </c>
      <c r="FF92" s="15">
        <f t="shared" si="297"/>
        <v>0</v>
      </c>
      <c r="FI92" s="15">
        <f t="shared" si="298"/>
        <v>0</v>
      </c>
      <c r="FL92" s="15">
        <f t="shared" si="299"/>
        <v>0</v>
      </c>
      <c r="FO92" s="15">
        <f t="shared" si="300"/>
        <v>0</v>
      </c>
      <c r="FR92" s="15">
        <v>0</v>
      </c>
    </row>
    <row r="93" spans="1:179" outlineLevel="1" collapsed="1">
      <c r="A93" s="1" t="s">
        <v>165</v>
      </c>
      <c r="B93" s="1" t="s">
        <v>146</v>
      </c>
      <c r="C93" s="4" t="s">
        <v>147</v>
      </c>
      <c r="D93" s="43">
        <v>5000</v>
      </c>
      <c r="E93" s="34">
        <v>187.34</v>
      </c>
      <c r="F93" s="43">
        <v>17000</v>
      </c>
      <c r="G93" s="34">
        <v>55.1</v>
      </c>
      <c r="H93" s="46">
        <v>9367</v>
      </c>
      <c r="I93" s="36">
        <v>9367</v>
      </c>
      <c r="J93" s="14"/>
      <c r="L93" s="118">
        <v>10000</v>
      </c>
      <c r="M93" s="17">
        <f t="shared" ref="M93" si="328">L93/F93-1</f>
        <v>-0.41176470588235292</v>
      </c>
      <c r="N93" s="17">
        <f t="shared" ref="N93" si="329">L93/I93-1</f>
        <v>6.7577666275221437E-2</v>
      </c>
      <c r="Q93" s="118">
        <v>10000</v>
      </c>
      <c r="R93" s="15">
        <v>6942</v>
      </c>
      <c r="S93" s="118">
        <v>9000</v>
      </c>
      <c r="T93" s="15">
        <f>S93-Q93</f>
        <v>-1000</v>
      </c>
      <c r="U93" s="16">
        <f>S93/Q93-1</f>
        <v>-9.9999999999999978E-2</v>
      </c>
      <c r="Y93" s="118">
        <v>14000</v>
      </c>
      <c r="AA93" s="118">
        <v>14000</v>
      </c>
      <c r="AB93" s="185">
        <f t="shared" ref="AB93:AB97" si="330">AA93-Y93</f>
        <v>0</v>
      </c>
      <c r="AC93" s="187">
        <f t="shared" ref="AC93:AC97" si="331">AA93-Y93</f>
        <v>0</v>
      </c>
      <c r="AD93" s="187"/>
      <c r="AE93" s="118">
        <v>14000</v>
      </c>
      <c r="AF93" s="182"/>
      <c r="AH93" s="15">
        <v>12055.81</v>
      </c>
      <c r="AI93" s="17">
        <f t="shared" ref="AI93:AI95" si="332">AH93/AE93</f>
        <v>0.86112928571428571</v>
      </c>
      <c r="AK93" s="118">
        <v>10000</v>
      </c>
      <c r="AS93" s="15">
        <f t="shared" ref="AS93:AS97" si="333">AR93+AK93</f>
        <v>10000</v>
      </c>
      <c r="AV93" s="15">
        <f t="shared" ref="AV93:AV95" si="334">AS93+AU93</f>
        <v>10000</v>
      </c>
      <c r="AX93" s="15"/>
      <c r="AY93" s="15">
        <f t="shared" ref="AY93:AY95" si="335">AV93+AX93</f>
        <v>10000</v>
      </c>
      <c r="BB93" s="15">
        <f t="shared" si="301"/>
        <v>10000</v>
      </c>
      <c r="BD93" s="15"/>
      <c r="BE93" s="15">
        <f t="shared" si="302"/>
        <v>10000</v>
      </c>
      <c r="BG93" s="15"/>
      <c r="BH93" s="15">
        <f t="shared" si="303"/>
        <v>10000</v>
      </c>
      <c r="BJ93" s="15">
        <v>9436.83</v>
      </c>
      <c r="BK93" s="235">
        <f t="shared" si="304"/>
        <v>0.94368299999999994</v>
      </c>
      <c r="BM93" s="15">
        <v>0</v>
      </c>
      <c r="BN93" s="235">
        <f t="shared" si="305"/>
        <v>0</v>
      </c>
      <c r="BO93" s="235">
        <f t="shared" si="306"/>
        <v>0</v>
      </c>
      <c r="BQ93" s="15"/>
      <c r="BR93" s="15">
        <f t="shared" si="307"/>
        <v>0</v>
      </c>
      <c r="BT93" s="15"/>
      <c r="BU93" s="15">
        <f>BR93+BT93</f>
        <v>0</v>
      </c>
      <c r="BW93" s="15"/>
      <c r="BX93" s="15">
        <f>BU93+BW93</f>
        <v>0</v>
      </c>
      <c r="BZ93" s="227">
        <f>21000</f>
        <v>21000</v>
      </c>
      <c r="CA93" s="15">
        <f t="shared" si="308"/>
        <v>21000</v>
      </c>
      <c r="CC93" s="15"/>
      <c r="CD93" s="15">
        <f t="shared" si="309"/>
        <v>21000</v>
      </c>
      <c r="CF93" s="15"/>
      <c r="CG93" s="15">
        <f t="shared" si="310"/>
        <v>21000</v>
      </c>
      <c r="CI93" s="15"/>
      <c r="CJ93" s="15">
        <f t="shared" si="311"/>
        <v>21000</v>
      </c>
      <c r="CM93" s="15">
        <f t="shared" si="312"/>
        <v>21000</v>
      </c>
      <c r="CO93" s="15">
        <v>-15000</v>
      </c>
      <c r="CP93" s="15">
        <f t="shared" si="313"/>
        <v>6000</v>
      </c>
      <c r="CS93" s="15">
        <f t="shared" si="314"/>
        <v>6000</v>
      </c>
      <c r="CU93" s="227">
        <v>-1000</v>
      </c>
      <c r="CV93" s="15">
        <f t="shared" si="315"/>
        <v>5000</v>
      </c>
      <c r="CX93" s="227"/>
      <c r="CY93" s="15">
        <f t="shared" si="316"/>
        <v>5000</v>
      </c>
      <c r="DA93" s="15">
        <v>4718.83</v>
      </c>
      <c r="DE93" s="15"/>
      <c r="DF93" s="15">
        <f t="shared" si="317"/>
        <v>0</v>
      </c>
      <c r="DH93" s="15"/>
      <c r="DI93" s="15">
        <f t="shared" si="318"/>
        <v>0</v>
      </c>
      <c r="DK93" s="15"/>
      <c r="DL93" s="15">
        <f t="shared" si="319"/>
        <v>0</v>
      </c>
      <c r="DN93" s="15"/>
      <c r="DO93" s="15">
        <f t="shared" si="320"/>
        <v>0</v>
      </c>
      <c r="DQ93" s="15"/>
      <c r="DR93" s="15">
        <f t="shared" si="321"/>
        <v>0</v>
      </c>
      <c r="DT93" s="227">
        <v>70000</v>
      </c>
      <c r="DU93" s="15">
        <f t="shared" si="322"/>
        <v>70000</v>
      </c>
      <c r="DW93" s="15"/>
      <c r="DX93" s="15">
        <f t="shared" si="323"/>
        <v>70000</v>
      </c>
      <c r="DZ93" s="15"/>
      <c r="EA93" s="15">
        <f t="shared" si="324"/>
        <v>70000</v>
      </c>
      <c r="EC93" s="227">
        <v>-12000</v>
      </c>
      <c r="ED93" s="15">
        <f t="shared" si="325"/>
        <v>58000</v>
      </c>
      <c r="EF93" s="15"/>
      <c r="EG93" s="15">
        <f t="shared" si="326"/>
        <v>58000</v>
      </c>
      <c r="EI93" s="15">
        <v>57978.76</v>
      </c>
      <c r="EK93" s="15">
        <v>5000</v>
      </c>
      <c r="EM93" s="15"/>
      <c r="EN93" s="15">
        <f t="shared" si="327"/>
        <v>5000</v>
      </c>
      <c r="EP93" s="15"/>
      <c r="EQ93" s="15">
        <f t="shared" si="292"/>
        <v>5000</v>
      </c>
      <c r="ES93" s="15"/>
      <c r="ET93" s="15">
        <f t="shared" si="293"/>
        <v>5000</v>
      </c>
      <c r="EW93" s="15">
        <f t="shared" si="294"/>
        <v>5000</v>
      </c>
      <c r="EZ93" s="15">
        <f t="shared" si="295"/>
        <v>5000</v>
      </c>
      <c r="FC93" s="15">
        <f t="shared" si="296"/>
        <v>5000</v>
      </c>
      <c r="FF93" s="15">
        <f t="shared" si="297"/>
        <v>5000</v>
      </c>
      <c r="FI93" s="15">
        <f t="shared" si="298"/>
        <v>5000</v>
      </c>
      <c r="FL93" s="15">
        <f t="shared" si="299"/>
        <v>5000</v>
      </c>
      <c r="FO93" s="15">
        <f t="shared" si="300"/>
        <v>5000</v>
      </c>
      <c r="FR93" s="15">
        <v>5000</v>
      </c>
      <c r="FT93" s="15">
        <v>3872.95</v>
      </c>
      <c r="FW93" s="235">
        <f t="shared" ref="FW93:FW98" si="336">FV93/FT93</f>
        <v>0</v>
      </c>
    </row>
    <row r="94" spans="1:179" outlineLevel="1">
      <c r="A94" s="1" t="s">
        <v>165</v>
      </c>
      <c r="B94" s="1" t="s">
        <v>157</v>
      </c>
      <c r="C94" s="4" t="s">
        <v>158</v>
      </c>
      <c r="D94" s="43">
        <v>1400</v>
      </c>
      <c r="E94" s="34">
        <v>967.14</v>
      </c>
      <c r="F94" s="43">
        <v>27232</v>
      </c>
      <c r="G94" s="34">
        <v>49.72</v>
      </c>
      <c r="H94" s="46">
        <v>13540</v>
      </c>
      <c r="I94" s="36">
        <v>13540</v>
      </c>
      <c r="J94" s="14"/>
      <c r="K94" t="s">
        <v>332</v>
      </c>
      <c r="L94" s="118">
        <v>15000</v>
      </c>
      <c r="M94" s="17">
        <f t="shared" ref="M94:M112" si="337">L94/F94-1</f>
        <v>-0.44917743830787304</v>
      </c>
      <c r="N94" s="17">
        <f t="shared" ref="N94:N112" si="338">L94/I94-1</f>
        <v>0.10782865583456425</v>
      </c>
      <c r="Q94" s="118">
        <v>15000</v>
      </c>
      <c r="R94" s="15">
        <v>1548</v>
      </c>
      <c r="S94" s="118">
        <v>13000</v>
      </c>
      <c r="T94" s="15">
        <f>S94-Q94</f>
        <v>-2000</v>
      </c>
      <c r="U94" s="16">
        <f>S94/Q94-1</f>
        <v>-0.1333333333333333</v>
      </c>
      <c r="Y94" s="118">
        <v>13000</v>
      </c>
      <c r="AA94" s="118">
        <v>13000</v>
      </c>
      <c r="AB94" s="185">
        <f t="shared" si="330"/>
        <v>0</v>
      </c>
      <c r="AC94" s="187">
        <f t="shared" si="331"/>
        <v>0</v>
      </c>
      <c r="AD94" s="187"/>
      <c r="AE94" s="118">
        <v>20700</v>
      </c>
      <c r="AF94" s="182">
        <f t="shared" ref="AF94:AF136" si="339">AE94-AA94</f>
        <v>7700</v>
      </c>
      <c r="AH94" s="15">
        <v>20687</v>
      </c>
      <c r="AI94" s="17">
        <f t="shared" si="332"/>
        <v>0.99937198067632849</v>
      </c>
      <c r="AK94" s="118">
        <v>20000</v>
      </c>
      <c r="AS94" s="15">
        <f t="shared" si="333"/>
        <v>20000</v>
      </c>
      <c r="AV94" s="15">
        <f t="shared" si="334"/>
        <v>20000</v>
      </c>
      <c r="AX94" s="15"/>
      <c r="AY94" s="15">
        <f t="shared" si="335"/>
        <v>20000</v>
      </c>
      <c r="BB94" s="15">
        <f t="shared" si="301"/>
        <v>20000</v>
      </c>
      <c r="BD94" s="15"/>
      <c r="BE94" s="15">
        <f t="shared" si="302"/>
        <v>20000</v>
      </c>
      <c r="BG94" s="15">
        <v>-2000</v>
      </c>
      <c r="BH94" s="15">
        <f t="shared" si="303"/>
        <v>18000</v>
      </c>
      <c r="BJ94" s="15">
        <v>17344</v>
      </c>
      <c r="BK94" s="235">
        <f t="shared" si="304"/>
        <v>0.96355555555555561</v>
      </c>
      <c r="BM94" s="15">
        <v>15000</v>
      </c>
      <c r="BN94" s="235">
        <f t="shared" si="305"/>
        <v>0.86485239852398521</v>
      </c>
      <c r="BO94" s="235">
        <f t="shared" si="306"/>
        <v>0.83333333333333337</v>
      </c>
      <c r="BQ94" s="15"/>
      <c r="BR94" s="15">
        <f t="shared" si="307"/>
        <v>15000</v>
      </c>
      <c r="BT94" s="15"/>
      <c r="BU94" s="15">
        <f>BR94+BT94</f>
        <v>15000</v>
      </c>
      <c r="BW94" s="15"/>
      <c r="BX94" s="15">
        <f>BU94+BW94</f>
        <v>15000</v>
      </c>
      <c r="BZ94" s="15"/>
      <c r="CA94" s="15">
        <f t="shared" si="308"/>
        <v>15000</v>
      </c>
      <c r="CC94" s="15"/>
      <c r="CD94" s="15">
        <f t="shared" si="309"/>
        <v>15000</v>
      </c>
      <c r="CF94" s="15"/>
      <c r="CG94" s="15">
        <f t="shared" si="310"/>
        <v>15000</v>
      </c>
      <c r="CI94" s="15"/>
      <c r="CJ94" s="15">
        <f t="shared" si="311"/>
        <v>15000</v>
      </c>
      <c r="CM94" s="15">
        <f t="shared" si="312"/>
        <v>15000</v>
      </c>
      <c r="CO94" s="15">
        <v>-2000</v>
      </c>
      <c r="CP94" s="15">
        <f t="shared" si="313"/>
        <v>13000</v>
      </c>
      <c r="CS94" s="15">
        <f t="shared" si="314"/>
        <v>13000</v>
      </c>
      <c r="CU94" s="227">
        <v>-4500</v>
      </c>
      <c r="CV94" s="15">
        <f t="shared" si="315"/>
        <v>8500</v>
      </c>
      <c r="CX94" s="227"/>
      <c r="CY94" s="15">
        <f t="shared" si="316"/>
        <v>8500</v>
      </c>
      <c r="DA94" s="15">
        <v>8116</v>
      </c>
      <c r="DC94" s="15">
        <v>8500</v>
      </c>
      <c r="DE94" s="15"/>
      <c r="DF94" s="15">
        <f t="shared" si="317"/>
        <v>8500</v>
      </c>
      <c r="DH94" s="15"/>
      <c r="DI94" s="15">
        <f t="shared" si="318"/>
        <v>8500</v>
      </c>
      <c r="DK94" s="15"/>
      <c r="DL94" s="15">
        <f t="shared" si="319"/>
        <v>8500</v>
      </c>
      <c r="DN94" s="15"/>
      <c r="DO94" s="15">
        <f t="shared" si="320"/>
        <v>8500</v>
      </c>
      <c r="DQ94" s="15"/>
      <c r="DR94" s="15">
        <f t="shared" si="321"/>
        <v>8500</v>
      </c>
      <c r="DT94" s="227">
        <v>3000</v>
      </c>
      <c r="DU94" s="15">
        <f t="shared" si="322"/>
        <v>11500</v>
      </c>
      <c r="DW94" s="15"/>
      <c r="DX94" s="15">
        <f t="shared" si="323"/>
        <v>11500</v>
      </c>
      <c r="DZ94" s="15"/>
      <c r="EA94" s="15">
        <f t="shared" si="324"/>
        <v>11500</v>
      </c>
      <c r="EC94" s="227">
        <v>5800</v>
      </c>
      <c r="ED94" s="15">
        <f t="shared" si="325"/>
        <v>17300</v>
      </c>
      <c r="EF94" s="227">
        <v>3000</v>
      </c>
      <c r="EG94" s="15">
        <f t="shared" si="326"/>
        <v>20300</v>
      </c>
      <c r="EI94" s="15">
        <v>20291</v>
      </c>
      <c r="EK94" s="15">
        <v>21000</v>
      </c>
      <c r="EM94" s="15"/>
      <c r="EN94" s="15">
        <f t="shared" si="327"/>
        <v>21000</v>
      </c>
      <c r="EP94" s="15"/>
      <c r="EQ94" s="15">
        <f t="shared" si="292"/>
        <v>21000</v>
      </c>
      <c r="ES94" s="15"/>
      <c r="ET94" s="15">
        <f t="shared" si="293"/>
        <v>21000</v>
      </c>
      <c r="EW94" s="15">
        <f t="shared" si="294"/>
        <v>21000</v>
      </c>
      <c r="EZ94" s="15">
        <f t="shared" si="295"/>
        <v>21000</v>
      </c>
      <c r="FC94" s="15">
        <f t="shared" si="296"/>
        <v>21000</v>
      </c>
      <c r="FE94" s="227">
        <v>650</v>
      </c>
      <c r="FF94" s="15">
        <f t="shared" si="297"/>
        <v>21650</v>
      </c>
      <c r="FI94" s="15">
        <f t="shared" si="298"/>
        <v>21650</v>
      </c>
      <c r="FK94" s="227">
        <v>10000</v>
      </c>
      <c r="FL94" s="15">
        <f t="shared" si="299"/>
        <v>31650</v>
      </c>
      <c r="FO94" s="15">
        <f t="shared" si="300"/>
        <v>31650</v>
      </c>
      <c r="FR94" s="15">
        <v>31650</v>
      </c>
      <c r="FT94" s="15">
        <v>21652</v>
      </c>
      <c r="FV94" s="15">
        <v>25000</v>
      </c>
      <c r="FW94" s="235">
        <f t="shared" si="336"/>
        <v>1.1546277480140403</v>
      </c>
    </row>
    <row r="95" spans="1:179" outlineLevel="1">
      <c r="A95" s="1" t="s">
        <v>165</v>
      </c>
      <c r="B95" s="1" t="s">
        <v>161</v>
      </c>
      <c r="C95" s="4" t="s">
        <v>162</v>
      </c>
      <c r="D95" s="43">
        <v>5000</v>
      </c>
      <c r="E95" s="34">
        <v>93.68</v>
      </c>
      <c r="F95" s="43">
        <v>5000</v>
      </c>
      <c r="G95" s="34">
        <v>93.68</v>
      </c>
      <c r="H95" s="46">
        <v>4684</v>
      </c>
      <c r="I95" s="36"/>
      <c r="J95" s="14"/>
      <c r="K95" t="s">
        <v>332</v>
      </c>
      <c r="L95" s="118">
        <v>5000</v>
      </c>
      <c r="M95" s="17">
        <f t="shared" si="337"/>
        <v>0</v>
      </c>
      <c r="N95" s="17" t="e">
        <f t="shared" si="338"/>
        <v>#DIV/0!</v>
      </c>
      <c r="Q95" s="118">
        <v>5000</v>
      </c>
      <c r="R95" s="15">
        <v>2718</v>
      </c>
      <c r="S95" s="118">
        <v>4000</v>
      </c>
      <c r="T95" s="15">
        <f>S95-Q95</f>
        <v>-1000</v>
      </c>
      <c r="U95" s="16">
        <f>S95/Q95-1</f>
        <v>-0.19999999999999996</v>
      </c>
      <c r="Y95" s="118">
        <v>5700</v>
      </c>
      <c r="AA95" s="118">
        <v>5700</v>
      </c>
      <c r="AB95" s="185">
        <f t="shared" si="330"/>
        <v>0</v>
      </c>
      <c r="AC95" s="187">
        <f t="shared" si="331"/>
        <v>0</v>
      </c>
      <c r="AD95" s="187"/>
      <c r="AE95" s="118">
        <v>5700</v>
      </c>
      <c r="AF95" s="182"/>
      <c r="AH95" s="15">
        <v>5116</v>
      </c>
      <c r="AI95" s="17">
        <f t="shared" si="332"/>
        <v>0.89754385964912275</v>
      </c>
      <c r="AK95" s="118">
        <v>6000</v>
      </c>
      <c r="AS95" s="15">
        <f t="shared" si="333"/>
        <v>6000</v>
      </c>
      <c r="AV95" s="15">
        <f t="shared" si="334"/>
        <v>6000</v>
      </c>
      <c r="AX95" s="15"/>
      <c r="AY95" s="15">
        <f t="shared" si="335"/>
        <v>6000</v>
      </c>
      <c r="BB95" s="15">
        <f t="shared" si="301"/>
        <v>6000</v>
      </c>
      <c r="BD95" s="15">
        <v>3000</v>
      </c>
      <c r="BE95" s="15">
        <f t="shared" si="302"/>
        <v>9000</v>
      </c>
      <c r="BG95" s="15"/>
      <c r="BH95" s="15">
        <f t="shared" si="303"/>
        <v>9000</v>
      </c>
      <c r="BJ95" s="15">
        <v>7784</v>
      </c>
      <c r="BK95" s="235">
        <f t="shared" si="304"/>
        <v>0.86488888888888893</v>
      </c>
      <c r="BM95" s="196">
        <f>12*1100</f>
        <v>13200</v>
      </c>
      <c r="BN95" s="235">
        <f t="shared" si="305"/>
        <v>1.6957862281603289</v>
      </c>
      <c r="BO95" s="235">
        <f t="shared" si="306"/>
        <v>1.4666666666666666</v>
      </c>
      <c r="BQ95" s="15"/>
      <c r="BR95" s="15">
        <f t="shared" si="307"/>
        <v>13200</v>
      </c>
      <c r="BT95" s="15"/>
      <c r="BU95" s="15">
        <f>BR95+BT95</f>
        <v>13200</v>
      </c>
      <c r="BW95" s="15"/>
      <c r="BX95" s="15">
        <f>BU95+BW95</f>
        <v>13200</v>
      </c>
      <c r="BZ95" s="15"/>
      <c r="CA95" s="15">
        <f t="shared" si="308"/>
        <v>13200</v>
      </c>
      <c r="CC95" s="15"/>
      <c r="CD95" s="15">
        <f t="shared" si="309"/>
        <v>13200</v>
      </c>
      <c r="CF95" s="15"/>
      <c r="CG95" s="15">
        <f t="shared" si="310"/>
        <v>13200</v>
      </c>
      <c r="CI95" s="15"/>
      <c r="CJ95" s="15">
        <f t="shared" si="311"/>
        <v>13200</v>
      </c>
      <c r="CL95" s="15">
        <v>500</v>
      </c>
      <c r="CM95" s="15">
        <f t="shared" si="312"/>
        <v>13700</v>
      </c>
      <c r="CO95" s="15">
        <v>2000</v>
      </c>
      <c r="CP95" s="15">
        <f t="shared" si="313"/>
        <v>15700</v>
      </c>
      <c r="CS95" s="15">
        <f t="shared" si="314"/>
        <v>15700</v>
      </c>
      <c r="CU95" s="227">
        <v>1000</v>
      </c>
      <c r="CV95" s="15">
        <f t="shared" si="315"/>
        <v>16700</v>
      </c>
      <c r="CX95" s="227"/>
      <c r="CY95" s="15">
        <f t="shared" si="316"/>
        <v>16700</v>
      </c>
      <c r="DA95" s="15">
        <v>16554.59</v>
      </c>
      <c r="DC95" s="15">
        <v>17000</v>
      </c>
      <c r="DE95" s="15"/>
      <c r="DF95" s="15">
        <f t="shared" si="317"/>
        <v>17000</v>
      </c>
      <c r="DH95" s="15"/>
      <c r="DI95" s="15">
        <f t="shared" si="318"/>
        <v>17000</v>
      </c>
      <c r="DK95" s="15"/>
      <c r="DL95" s="15">
        <f t="shared" si="319"/>
        <v>17000</v>
      </c>
      <c r="DN95" s="15"/>
      <c r="DO95" s="15">
        <f t="shared" si="320"/>
        <v>17000</v>
      </c>
      <c r="DQ95" s="15"/>
      <c r="DR95" s="15">
        <f t="shared" si="321"/>
        <v>17000</v>
      </c>
      <c r="DT95" s="15"/>
      <c r="DU95" s="15">
        <f t="shared" si="322"/>
        <v>17000</v>
      </c>
      <c r="DW95" s="15"/>
      <c r="DX95" s="15">
        <f t="shared" si="323"/>
        <v>17000</v>
      </c>
      <c r="DZ95" s="15"/>
      <c r="EA95" s="15">
        <f t="shared" si="324"/>
        <v>17000</v>
      </c>
      <c r="EC95" s="227">
        <v>-5000</v>
      </c>
      <c r="ED95" s="15">
        <f t="shared" si="325"/>
        <v>12000</v>
      </c>
      <c r="EF95" s="227">
        <v>1000</v>
      </c>
      <c r="EG95" s="15">
        <f t="shared" si="326"/>
        <v>13000</v>
      </c>
      <c r="EI95" s="15">
        <v>12921</v>
      </c>
      <c r="EK95" s="15">
        <v>15000</v>
      </c>
      <c r="EM95" s="15"/>
      <c r="EN95" s="15">
        <f t="shared" si="327"/>
        <v>15000</v>
      </c>
      <c r="EP95" s="15"/>
      <c r="EQ95" s="15">
        <f t="shared" si="292"/>
        <v>15000</v>
      </c>
      <c r="ES95" s="15"/>
      <c r="ET95" s="15">
        <f t="shared" si="293"/>
        <v>15000</v>
      </c>
      <c r="EW95" s="15">
        <f t="shared" si="294"/>
        <v>15000</v>
      </c>
      <c r="EZ95" s="15">
        <f t="shared" si="295"/>
        <v>15000</v>
      </c>
      <c r="FC95" s="15">
        <f t="shared" si="296"/>
        <v>15000</v>
      </c>
      <c r="FF95" s="15">
        <f t="shared" si="297"/>
        <v>15000</v>
      </c>
      <c r="FI95" s="15">
        <f t="shared" si="298"/>
        <v>15000</v>
      </c>
      <c r="FK95" s="227">
        <v>-2000</v>
      </c>
      <c r="FL95" s="15">
        <f t="shared" si="299"/>
        <v>13000</v>
      </c>
      <c r="FO95" s="15">
        <f t="shared" si="300"/>
        <v>13000</v>
      </c>
      <c r="FR95" s="15">
        <v>13000</v>
      </c>
      <c r="FT95" s="15">
        <v>12763</v>
      </c>
      <c r="FV95" s="15">
        <v>14000</v>
      </c>
      <c r="FW95" s="235">
        <f t="shared" si="336"/>
        <v>1.096920786648907</v>
      </c>
    </row>
    <row r="96" spans="1:179" outlineLevel="1">
      <c r="A96" s="1" t="s">
        <v>165</v>
      </c>
      <c r="B96" s="1" t="s">
        <v>115</v>
      </c>
      <c r="C96" s="4" t="s">
        <v>116</v>
      </c>
      <c r="D96" s="43">
        <v>1000</v>
      </c>
      <c r="E96" s="34">
        <v>0</v>
      </c>
      <c r="F96" s="43">
        <v>1000</v>
      </c>
      <c r="G96" s="34">
        <v>0</v>
      </c>
      <c r="H96" s="46">
        <v>0</v>
      </c>
      <c r="I96" s="36">
        <v>0</v>
      </c>
      <c r="J96" s="14"/>
      <c r="M96" s="17">
        <f t="shared" si="337"/>
        <v>-1</v>
      </c>
      <c r="N96" s="17" t="e">
        <f t="shared" si="338"/>
        <v>#DIV/0!</v>
      </c>
      <c r="Y96" s="118"/>
      <c r="AB96" s="185"/>
      <c r="AC96" s="187"/>
      <c r="AD96" s="187"/>
      <c r="AF96" s="182"/>
      <c r="AH96" s="15"/>
      <c r="AS96" s="15"/>
      <c r="AX96" s="15"/>
      <c r="BD96" s="15"/>
      <c r="BG96" s="15"/>
      <c r="BZ96" s="227">
        <v>4000</v>
      </c>
      <c r="CA96" s="15">
        <f t="shared" si="308"/>
        <v>4000</v>
      </c>
      <c r="CC96" s="15"/>
      <c r="CD96" s="15">
        <f t="shared" si="309"/>
        <v>4000</v>
      </c>
      <c r="CF96" s="15"/>
      <c r="CG96" s="15">
        <f t="shared" si="310"/>
        <v>4000</v>
      </c>
      <c r="CI96" s="15"/>
      <c r="CJ96" s="15">
        <f t="shared" si="311"/>
        <v>4000</v>
      </c>
      <c r="CM96" s="15">
        <f t="shared" si="312"/>
        <v>4000</v>
      </c>
      <c r="CO96" s="15">
        <v>-4000</v>
      </c>
      <c r="CP96" s="15">
        <f t="shared" si="313"/>
        <v>0</v>
      </c>
      <c r="CS96" s="15">
        <f t="shared" si="314"/>
        <v>0</v>
      </c>
      <c r="CV96" s="15">
        <f t="shared" si="315"/>
        <v>0</v>
      </c>
      <c r="CY96" s="15">
        <f t="shared" si="316"/>
        <v>0</v>
      </c>
      <c r="DE96" s="15"/>
      <c r="DH96" s="15"/>
      <c r="DK96" s="15"/>
      <c r="DN96" s="15"/>
      <c r="DQ96" s="227">
        <v>27000</v>
      </c>
      <c r="DR96" s="15">
        <f t="shared" si="321"/>
        <v>27000</v>
      </c>
      <c r="DT96" s="227">
        <v>5000</v>
      </c>
      <c r="DU96" s="15">
        <f t="shared" si="322"/>
        <v>32000</v>
      </c>
      <c r="DW96" s="15"/>
      <c r="DX96" s="15">
        <f t="shared" si="323"/>
        <v>32000</v>
      </c>
      <c r="DZ96" s="227">
        <v>6000</v>
      </c>
      <c r="EA96" s="15">
        <f t="shared" si="324"/>
        <v>38000</v>
      </c>
      <c r="EC96" s="15"/>
      <c r="ED96" s="15">
        <f t="shared" si="325"/>
        <v>38000</v>
      </c>
      <c r="EF96" s="15"/>
      <c r="EG96" s="15">
        <f t="shared" si="326"/>
        <v>38000</v>
      </c>
      <c r="EI96" s="15">
        <v>37628.58</v>
      </c>
      <c r="EK96" s="15">
        <v>0</v>
      </c>
      <c r="EM96" s="227">
        <v>7300</v>
      </c>
      <c r="EN96" s="15">
        <f t="shared" si="327"/>
        <v>7300</v>
      </c>
      <c r="EP96" s="15"/>
      <c r="EQ96" s="15">
        <f t="shared" si="292"/>
        <v>7300</v>
      </c>
      <c r="ES96" s="15"/>
      <c r="ET96" s="15">
        <f t="shared" si="293"/>
        <v>7300</v>
      </c>
      <c r="EW96" s="15">
        <f t="shared" si="294"/>
        <v>7300</v>
      </c>
      <c r="EZ96" s="15">
        <f t="shared" si="295"/>
        <v>7300</v>
      </c>
      <c r="FB96" s="227">
        <v>3000</v>
      </c>
      <c r="FC96" s="15">
        <f t="shared" si="296"/>
        <v>10300</v>
      </c>
      <c r="FF96" s="15">
        <f t="shared" si="297"/>
        <v>10300</v>
      </c>
      <c r="FI96" s="15">
        <f t="shared" si="298"/>
        <v>10300</v>
      </c>
      <c r="FL96" s="15">
        <f t="shared" si="299"/>
        <v>10300</v>
      </c>
      <c r="FO96" s="15">
        <f t="shared" si="300"/>
        <v>10300</v>
      </c>
      <c r="FR96" s="15">
        <v>10300</v>
      </c>
      <c r="FT96" s="15">
        <v>7258.79</v>
      </c>
      <c r="FV96" s="15">
        <v>10000</v>
      </c>
      <c r="FW96" s="235">
        <f t="shared" si="336"/>
        <v>1.3776400749987256</v>
      </c>
    </row>
    <row r="97" spans="1:181" outlineLevel="1">
      <c r="A97" s="1" t="s">
        <v>165</v>
      </c>
      <c r="B97" s="1" t="s">
        <v>117</v>
      </c>
      <c r="C97" s="4" t="s">
        <v>118</v>
      </c>
      <c r="D97" s="43">
        <v>2000</v>
      </c>
      <c r="E97" s="34">
        <v>36.049999999999997</v>
      </c>
      <c r="F97" s="43">
        <v>2000</v>
      </c>
      <c r="G97" s="34">
        <v>36.049999999999997</v>
      </c>
      <c r="H97" s="46">
        <v>721</v>
      </c>
      <c r="I97" s="36">
        <v>721</v>
      </c>
      <c r="J97" s="14"/>
      <c r="L97" s="118">
        <v>1000</v>
      </c>
      <c r="M97" s="17">
        <f t="shared" si="337"/>
        <v>-0.5</v>
      </c>
      <c r="N97" s="17">
        <f t="shared" si="338"/>
        <v>0.38696255201109575</v>
      </c>
      <c r="Q97" s="118">
        <v>1000</v>
      </c>
      <c r="R97" s="15">
        <v>349</v>
      </c>
      <c r="S97" s="118">
        <v>1000</v>
      </c>
      <c r="T97" s="15">
        <f>S97-Q97</f>
        <v>0</v>
      </c>
      <c r="U97" s="16">
        <f>S97/Q97-1</f>
        <v>0</v>
      </c>
      <c r="Y97" s="118">
        <v>1000</v>
      </c>
      <c r="AA97" s="118">
        <v>3000</v>
      </c>
      <c r="AB97" s="185">
        <f t="shared" si="330"/>
        <v>2000</v>
      </c>
      <c r="AC97" s="187">
        <f t="shared" si="331"/>
        <v>2000</v>
      </c>
      <c r="AD97" s="187"/>
      <c r="AE97" s="118">
        <v>11000</v>
      </c>
      <c r="AF97" s="182">
        <f t="shared" si="339"/>
        <v>8000</v>
      </c>
      <c r="AH97" s="15">
        <v>10923</v>
      </c>
      <c r="AI97" s="17">
        <f t="shared" ref="AI97" si="340">AH97/AE97</f>
        <v>0.99299999999999999</v>
      </c>
      <c r="AK97" s="118">
        <v>15000</v>
      </c>
      <c r="AS97" s="15">
        <f t="shared" si="333"/>
        <v>15000</v>
      </c>
      <c r="AV97" s="15">
        <f>AS97+AU97</f>
        <v>15000</v>
      </c>
      <c r="AX97" s="15"/>
      <c r="AY97" s="15">
        <f>AV97+AX97</f>
        <v>15000</v>
      </c>
      <c r="BB97" s="15">
        <f>AY97+BA97</f>
        <v>15000</v>
      </c>
      <c r="BD97" s="15">
        <v>-13000</v>
      </c>
      <c r="BE97" s="15">
        <f>BB97+BD97</f>
        <v>2000</v>
      </c>
      <c r="BG97" s="15"/>
      <c r="BH97" s="15">
        <f>BE97+BG97</f>
        <v>2000</v>
      </c>
      <c r="BJ97" s="15">
        <v>938</v>
      </c>
      <c r="BK97" s="235">
        <f t="shared" ref="BK97" si="341">BJ97/BH97</f>
        <v>0.46899999999999997</v>
      </c>
      <c r="BM97" s="15">
        <v>2000</v>
      </c>
      <c r="BN97" s="235">
        <f t="shared" ref="BN97" si="342">BM97/BJ97</f>
        <v>2.1321961620469083</v>
      </c>
      <c r="BO97" s="235">
        <f t="shared" ref="BO97" si="343">BM97/BH97</f>
        <v>1</v>
      </c>
      <c r="BQ97" s="15"/>
      <c r="BR97" s="15">
        <f>BM97+BQ97</f>
        <v>2000</v>
      </c>
      <c r="BT97" s="15"/>
      <c r="BU97" s="15">
        <f>BR97+BT97</f>
        <v>2000</v>
      </c>
      <c r="BW97" s="15"/>
      <c r="BX97" s="15">
        <f>BU97+BW97</f>
        <v>2000</v>
      </c>
      <c r="BZ97" s="227">
        <v>1000</v>
      </c>
      <c r="CA97" s="15">
        <f t="shared" si="308"/>
        <v>3000</v>
      </c>
      <c r="CC97" s="15"/>
      <c r="CD97" s="15">
        <f t="shared" si="309"/>
        <v>3000</v>
      </c>
      <c r="CF97" s="15"/>
      <c r="CG97" s="15">
        <f t="shared" si="310"/>
        <v>3000</v>
      </c>
      <c r="CI97" s="15"/>
      <c r="CJ97" s="15">
        <f t="shared" si="311"/>
        <v>3000</v>
      </c>
      <c r="CM97" s="15">
        <f t="shared" si="312"/>
        <v>3000</v>
      </c>
      <c r="CP97" s="15">
        <f t="shared" si="313"/>
        <v>3000</v>
      </c>
      <c r="CS97" s="15">
        <f t="shared" si="314"/>
        <v>3000</v>
      </c>
      <c r="CU97" s="227">
        <v>-500</v>
      </c>
      <c r="CV97" s="15">
        <f t="shared" si="315"/>
        <v>2500</v>
      </c>
      <c r="CX97" s="227"/>
      <c r="CY97" s="15">
        <f t="shared" si="316"/>
        <v>2500</v>
      </c>
      <c r="DA97" s="15">
        <v>2449</v>
      </c>
      <c r="DC97" s="15">
        <v>40000</v>
      </c>
      <c r="DE97" s="15"/>
      <c r="DF97" s="15">
        <f>DC97+DE97</f>
        <v>40000</v>
      </c>
      <c r="DH97" s="15"/>
      <c r="DI97" s="15">
        <f>DF97+DH97</f>
        <v>40000</v>
      </c>
      <c r="DK97" s="15"/>
      <c r="DL97" s="15">
        <f>DI97+DK97</f>
        <v>40000</v>
      </c>
      <c r="DN97" s="15"/>
      <c r="DO97" s="15">
        <f>DL97+DN97</f>
        <v>40000</v>
      </c>
      <c r="DQ97" s="227">
        <v>-3000</v>
      </c>
      <c r="DR97" s="15">
        <f>DO97+DQ97</f>
        <v>37000</v>
      </c>
      <c r="DT97" s="15"/>
      <c r="DU97" s="15">
        <f>DR97+DT97</f>
        <v>37000</v>
      </c>
      <c r="DW97" s="15"/>
      <c r="DX97" s="15">
        <f>DU97+DW97</f>
        <v>37000</v>
      </c>
      <c r="DZ97" s="15"/>
      <c r="EA97" s="15">
        <f>DX97+DZ97</f>
        <v>37000</v>
      </c>
      <c r="EC97" s="227">
        <v>-18700</v>
      </c>
      <c r="ED97" s="15">
        <f>EA97+EC97</f>
        <v>18300</v>
      </c>
      <c r="EF97" s="15"/>
      <c r="EG97" s="15">
        <f>ED97+EF97</f>
        <v>18300</v>
      </c>
      <c r="EI97" s="15">
        <v>18138.86</v>
      </c>
      <c r="EK97" s="15">
        <v>200000</v>
      </c>
      <c r="EM97" s="15"/>
      <c r="EN97" s="15">
        <f>EK97+EM97</f>
        <v>200000</v>
      </c>
      <c r="EP97" s="227">
        <v>50000</v>
      </c>
      <c r="EQ97" s="15">
        <f>EN97+EP97</f>
        <v>250000</v>
      </c>
      <c r="ES97" s="15"/>
      <c r="ET97" s="15">
        <f>EQ97+ES97</f>
        <v>250000</v>
      </c>
      <c r="EV97" s="227">
        <v>100000</v>
      </c>
      <c r="EW97" s="15">
        <f>ET97+EV97</f>
        <v>350000</v>
      </c>
      <c r="EZ97" s="15">
        <f>EW97+EY97</f>
        <v>350000</v>
      </c>
      <c r="FB97" s="227">
        <v>50000</v>
      </c>
      <c r="FC97" s="15">
        <f>EZ97+FB97</f>
        <v>400000</v>
      </c>
      <c r="FF97" s="15">
        <f>FC97+FE97</f>
        <v>400000</v>
      </c>
      <c r="FI97" s="15">
        <f>FF97+FH97</f>
        <v>400000</v>
      </c>
      <c r="FK97" s="227">
        <v>-40000</v>
      </c>
      <c r="FL97" s="15">
        <f>FI97+FK97</f>
        <v>360000</v>
      </c>
      <c r="FO97" s="15">
        <f>FL97+FN97</f>
        <v>360000</v>
      </c>
      <c r="FR97" s="15">
        <v>360000</v>
      </c>
      <c r="FT97" s="15">
        <v>352450.89</v>
      </c>
      <c r="FV97" s="15">
        <v>30000</v>
      </c>
      <c r="FW97" s="235">
        <f t="shared" si="336"/>
        <v>8.511824157969923E-2</v>
      </c>
    </row>
    <row r="98" spans="1:181" outlineLevel="1">
      <c r="A98" s="1" t="s">
        <v>165</v>
      </c>
      <c r="B98" s="2" t="s">
        <v>208</v>
      </c>
      <c r="C98" t="s">
        <v>614</v>
      </c>
      <c r="D98" s="43"/>
      <c r="E98" s="34"/>
      <c r="F98" s="43"/>
      <c r="G98" s="34"/>
      <c r="H98" s="46"/>
      <c r="I98" s="36"/>
      <c r="J98" s="14"/>
      <c r="M98" s="17"/>
      <c r="N98" s="17"/>
      <c r="U98" s="16"/>
      <c r="Y98" s="118"/>
      <c r="AB98" s="185"/>
      <c r="AC98" s="187"/>
      <c r="AD98" s="187"/>
      <c r="AF98" s="182"/>
      <c r="AH98" s="15"/>
      <c r="AI98" s="17"/>
      <c r="AS98" s="15"/>
      <c r="AV98" s="15"/>
      <c r="AX98" s="15"/>
      <c r="AY98" s="15"/>
      <c r="BB98" s="15"/>
      <c r="BD98" s="15"/>
      <c r="BE98" s="15"/>
      <c r="BG98" s="15"/>
      <c r="BH98" s="15"/>
      <c r="BK98" s="235"/>
      <c r="BM98" s="15"/>
      <c r="BN98" s="235"/>
      <c r="BO98" s="235"/>
      <c r="BQ98" s="15"/>
      <c r="BR98" s="15"/>
      <c r="BT98" s="15"/>
      <c r="BU98" s="15"/>
      <c r="BW98" s="15"/>
      <c r="BX98" s="15"/>
      <c r="BZ98" s="227"/>
      <c r="CA98" s="15"/>
      <c r="CC98" s="15"/>
      <c r="CD98" s="15"/>
      <c r="CF98" s="15"/>
      <c r="CG98" s="15"/>
      <c r="CI98" s="15"/>
      <c r="CJ98" s="15"/>
      <c r="CM98" s="15"/>
      <c r="CP98" s="15"/>
      <c r="CS98" s="15"/>
      <c r="CU98" s="227"/>
      <c r="CV98" s="15"/>
      <c r="CX98" s="227"/>
      <c r="CY98" s="15"/>
      <c r="DE98" s="15"/>
      <c r="DF98" s="15"/>
      <c r="DH98" s="15"/>
      <c r="DI98" s="15"/>
      <c r="DK98" s="227">
        <f>1244540.66</f>
        <v>1244540.6599999999</v>
      </c>
      <c r="DL98" s="15">
        <f>DI98+DK98</f>
        <v>1244540.6599999999</v>
      </c>
      <c r="DN98" s="15"/>
      <c r="DO98" s="15">
        <f>DL98+DN98</f>
        <v>1244540.6599999999</v>
      </c>
      <c r="DQ98" s="15"/>
      <c r="DR98" s="15">
        <f>DO98+DQ98</f>
        <v>1244540.6599999999</v>
      </c>
      <c r="DT98" s="15"/>
      <c r="DU98" s="15">
        <f>DR98+DT98</f>
        <v>1244540.6599999999</v>
      </c>
      <c r="DW98" s="15"/>
      <c r="DX98" s="15">
        <f>DU98+DW98</f>
        <v>1244540.6599999999</v>
      </c>
      <c r="DZ98" s="15"/>
      <c r="EA98" s="15">
        <f>DX98+DZ98</f>
        <v>1244540.6599999999</v>
      </c>
      <c r="EC98" s="15"/>
      <c r="ED98" s="15">
        <f>EA98+EC98</f>
        <v>1244540.6599999999</v>
      </c>
      <c r="EF98" s="15"/>
      <c r="EG98" s="15">
        <f>ED98+EF98</f>
        <v>1244540.6599999999</v>
      </c>
      <c r="EI98" s="15">
        <v>1244540.6599999999</v>
      </c>
      <c r="EK98" s="15">
        <f>7300+150000</f>
        <v>157300</v>
      </c>
      <c r="EM98" s="227">
        <v>-7300</v>
      </c>
      <c r="EN98" s="15">
        <f>EK98+EM98</f>
        <v>150000</v>
      </c>
      <c r="EP98" s="15"/>
      <c r="EQ98" s="15">
        <f>EN98+EP98</f>
        <v>150000</v>
      </c>
      <c r="ES98" s="15"/>
      <c r="ET98" s="15">
        <f>EQ98+ES98</f>
        <v>150000</v>
      </c>
      <c r="EV98" s="227">
        <v>80000</v>
      </c>
      <c r="EW98" s="15">
        <f>ET98+EV98</f>
        <v>230000</v>
      </c>
      <c r="EZ98" s="15">
        <f>EW98+EY98</f>
        <v>230000</v>
      </c>
      <c r="FB98" s="227">
        <v>61000</v>
      </c>
      <c r="FC98" s="15">
        <f>EZ98+FB98</f>
        <v>291000</v>
      </c>
      <c r="FE98" s="227">
        <v>10000</v>
      </c>
      <c r="FF98" s="15">
        <f>FC98+FE98</f>
        <v>301000</v>
      </c>
      <c r="FH98" s="227">
        <v>30000</v>
      </c>
      <c r="FI98" s="15">
        <f>FF98+FH98</f>
        <v>331000</v>
      </c>
      <c r="FK98" s="227">
        <v>100000</v>
      </c>
      <c r="FL98" s="15">
        <f>FI98+FK98</f>
        <v>431000</v>
      </c>
      <c r="FO98" s="15">
        <f>FL98+FN98</f>
        <v>431000</v>
      </c>
      <c r="FR98" s="15">
        <v>431000</v>
      </c>
      <c r="FT98" s="15">
        <v>411409.06</v>
      </c>
      <c r="FV98" s="424">
        <v>50000</v>
      </c>
      <c r="FW98" s="235">
        <f t="shared" si="336"/>
        <v>0.12153354133717911</v>
      </c>
      <c r="FY98" s="15" t="s">
        <v>696</v>
      </c>
    </row>
    <row r="99" spans="1:181" outlineLevel="1">
      <c r="A99" s="1" t="s">
        <v>165</v>
      </c>
      <c r="B99" s="1" t="s">
        <v>588</v>
      </c>
      <c r="C99" s="4" t="s">
        <v>589</v>
      </c>
      <c r="D99" s="43"/>
      <c r="E99" s="34"/>
      <c r="F99" s="43"/>
      <c r="G99" s="34"/>
      <c r="H99" s="46"/>
      <c r="I99" s="36"/>
      <c r="J99" s="14"/>
      <c r="M99" s="17"/>
      <c r="N99" s="17"/>
      <c r="U99" s="16"/>
      <c r="Y99" s="118"/>
      <c r="AB99" s="185"/>
      <c r="AC99" s="187"/>
      <c r="AD99" s="187"/>
      <c r="AF99" s="182"/>
      <c r="AH99" s="15"/>
      <c r="AI99" s="17"/>
      <c r="AS99" s="15"/>
      <c r="AV99" s="15"/>
      <c r="AX99" s="15"/>
      <c r="AY99" s="15"/>
      <c r="BB99" s="15"/>
      <c r="BD99" s="15"/>
      <c r="BE99" s="15"/>
      <c r="BG99" s="15"/>
      <c r="BH99" s="15"/>
      <c r="BK99" s="235"/>
      <c r="BM99" s="15"/>
      <c r="BN99" s="235"/>
      <c r="BO99" s="235"/>
      <c r="BQ99" s="15"/>
      <c r="BR99" s="15"/>
      <c r="BT99" s="15"/>
      <c r="BU99" s="15"/>
      <c r="BW99" s="15"/>
      <c r="BX99" s="15"/>
      <c r="BZ99" s="227"/>
      <c r="CA99" s="15"/>
      <c r="CC99" s="15"/>
      <c r="CD99" s="15"/>
      <c r="CF99" s="15"/>
      <c r="CG99" s="15"/>
      <c r="CI99" s="15"/>
      <c r="CJ99" s="15"/>
      <c r="CM99" s="15"/>
      <c r="CP99" s="15"/>
      <c r="CS99" s="15"/>
      <c r="CU99" s="227"/>
      <c r="CV99" s="15"/>
      <c r="CX99" s="227"/>
      <c r="CY99" s="15"/>
      <c r="DC99" s="15">
        <v>378000</v>
      </c>
      <c r="DE99" s="15"/>
      <c r="DF99" s="15">
        <f>DC99+DE99</f>
        <v>378000</v>
      </c>
      <c r="DH99" s="15"/>
      <c r="DI99" s="15">
        <f>DF99+DH99</f>
        <v>378000</v>
      </c>
      <c r="DK99" s="227">
        <v>-378000</v>
      </c>
      <c r="DL99" s="15">
        <f>DI99+DK99</f>
        <v>0</v>
      </c>
      <c r="DN99" s="15"/>
      <c r="DO99" s="15">
        <f>DL99+DN99</f>
        <v>0</v>
      </c>
      <c r="DQ99" s="15"/>
      <c r="DR99" s="15">
        <f>DO99+DQ99</f>
        <v>0</v>
      </c>
      <c r="DT99" s="15"/>
      <c r="DU99" s="15">
        <f>DR99+DT99</f>
        <v>0</v>
      </c>
      <c r="DW99" s="15"/>
      <c r="DX99" s="15">
        <f>DU99+DW99</f>
        <v>0</v>
      </c>
      <c r="DZ99" s="15"/>
      <c r="EA99" s="15">
        <f>DX99+DZ99</f>
        <v>0</v>
      </c>
      <c r="EC99" s="15"/>
      <c r="ED99" s="15">
        <f>EA99+EC99</f>
        <v>0</v>
      </c>
      <c r="EF99" s="15"/>
      <c r="EG99" s="15">
        <f>ED99+EF99</f>
        <v>0</v>
      </c>
      <c r="EI99" s="15">
        <v>0</v>
      </c>
      <c r="EK99" s="15">
        <v>0</v>
      </c>
      <c r="EM99" s="15"/>
      <c r="EN99" s="15">
        <f>EK99+EM99</f>
        <v>0</v>
      </c>
      <c r="EP99" s="15"/>
      <c r="EQ99" s="15">
        <f>EN99+EP99</f>
        <v>0</v>
      </c>
      <c r="ES99" s="15"/>
      <c r="ET99" s="15">
        <f>EQ99+ES99</f>
        <v>0</v>
      </c>
      <c r="EW99" s="15">
        <f>ET99+EV99</f>
        <v>0</v>
      </c>
      <c r="EZ99" s="15">
        <f>EW99+EY99</f>
        <v>0</v>
      </c>
      <c r="FC99" s="15">
        <f>EZ99+FB99</f>
        <v>0</v>
      </c>
      <c r="FF99" s="15">
        <f>FC99+FE99</f>
        <v>0</v>
      </c>
      <c r="FI99" s="15">
        <f>FF99+FH99</f>
        <v>0</v>
      </c>
      <c r="FL99" s="15">
        <f>FI99+FK99</f>
        <v>0</v>
      </c>
      <c r="FO99" s="15">
        <f>FL99+FN99</f>
        <v>0</v>
      </c>
      <c r="FR99" s="15">
        <v>0</v>
      </c>
    </row>
    <row r="100" spans="1:181" outlineLevel="1">
      <c r="A100" s="1" t="s">
        <v>165</v>
      </c>
      <c r="B100" s="4" t="s">
        <v>46</v>
      </c>
      <c r="C100" s="4" t="s">
        <v>166</v>
      </c>
      <c r="D100" s="43">
        <v>14400</v>
      </c>
      <c r="E100" s="34">
        <v>196.61</v>
      </c>
      <c r="F100" s="43">
        <v>52232</v>
      </c>
      <c r="G100" s="34">
        <v>54.2</v>
      </c>
      <c r="H100" s="46">
        <v>28312</v>
      </c>
      <c r="I100" s="36"/>
      <c r="J100" s="14"/>
      <c r="M100" s="17"/>
      <c r="N100" s="17"/>
      <c r="Y100" s="118"/>
      <c r="AF100" s="182"/>
      <c r="AH100" s="15"/>
      <c r="AX100" s="15"/>
      <c r="BD100" s="15"/>
      <c r="BG100" s="15"/>
      <c r="DE100" s="15"/>
      <c r="DH100" s="15"/>
      <c r="DK100" s="15"/>
      <c r="DN100" s="15"/>
      <c r="DQ100" s="15"/>
      <c r="DT100" s="15"/>
      <c r="DW100" s="15"/>
      <c r="DZ100" s="15"/>
      <c r="EC100" s="15"/>
      <c r="EF100" s="15"/>
      <c r="EK100" s="15"/>
      <c r="EM100" s="15"/>
      <c r="EP100" s="15"/>
      <c r="ES100" s="15"/>
    </row>
    <row r="101" spans="1:181" ht="17.25" customHeight="1" thickBot="1">
      <c r="A101" s="54" t="s">
        <v>165</v>
      </c>
      <c r="B101" s="55" t="s">
        <v>316</v>
      </c>
      <c r="C101" s="283" t="s">
        <v>166</v>
      </c>
      <c r="D101" s="57">
        <f>SUM(D93:D97)</f>
        <v>14400</v>
      </c>
      <c r="E101" s="58"/>
      <c r="F101" s="57">
        <f>SUM(F93:F97)</f>
        <v>52232</v>
      </c>
      <c r="G101" s="58"/>
      <c r="H101" s="57"/>
      <c r="I101" s="57">
        <f>SUM(I93:I97)</f>
        <v>23628</v>
      </c>
      <c r="J101" s="138" t="e">
        <f>I101/$I$332</f>
        <v>#REF!</v>
      </c>
      <c r="K101" s="60"/>
      <c r="L101" s="122">
        <f>SUM(L93:L97)</f>
        <v>31000</v>
      </c>
      <c r="M101" s="61">
        <f>L101/F101-1</f>
        <v>-0.40649410323173529</v>
      </c>
      <c r="N101" s="61">
        <f>L101/I101-1</f>
        <v>0.3120027086507533</v>
      </c>
      <c r="O101" s="17">
        <f>L101/$L$332</f>
        <v>7.192575539537365E-3</v>
      </c>
      <c r="P101" s="17"/>
      <c r="Q101" s="122">
        <f>SUM(Q93:Q97)</f>
        <v>31000</v>
      </c>
      <c r="R101" s="122">
        <f>SUM(R93:R97)</f>
        <v>11557</v>
      </c>
      <c r="S101" s="122">
        <f>SUM(S93:S97)</f>
        <v>27000</v>
      </c>
      <c r="T101" s="122">
        <f>SUM(T93:T97)</f>
        <v>-4000</v>
      </c>
      <c r="U101" s="155">
        <f>S101/Q101-1</f>
        <v>-0.12903225806451613</v>
      </c>
      <c r="Y101" s="122">
        <f>SUM(Y93:Y97)</f>
        <v>33700</v>
      </c>
      <c r="AA101" s="122">
        <f>SUM(AA93:AA97)</f>
        <v>35700</v>
      </c>
      <c r="AB101" s="122">
        <f>SUM(AB93:AB97)</f>
        <v>2000</v>
      </c>
      <c r="AE101" s="122">
        <f>SUM(AE93:AE97)</f>
        <v>51400</v>
      </c>
      <c r="AF101" s="182"/>
      <c r="AH101" s="122">
        <f>SUM(AH93:AH97)</f>
        <v>48781.81</v>
      </c>
      <c r="AI101" s="17">
        <f t="shared" ref="AI101:AI102" si="344">AH101/AE101</f>
        <v>0.94906245136186762</v>
      </c>
      <c r="AK101" s="122">
        <f>SUM(AK93:AK97)</f>
        <v>51000</v>
      </c>
      <c r="AL101" s="193">
        <f t="shared" ref="AL101:AL102" si="345">AK101/L101</f>
        <v>1.6451612903225807</v>
      </c>
      <c r="AM101" s="17">
        <f t="shared" ref="AM101:AM102" si="346">AK101/AE101</f>
        <v>0.99221789883268485</v>
      </c>
      <c r="AN101" s="17">
        <f t="shared" ref="AN101:AN102" si="347">AK101/AH101</f>
        <v>1.0454716624905882</v>
      </c>
      <c r="AS101" s="122">
        <f>SUM(AS93:AS97)</f>
        <v>51000</v>
      </c>
      <c r="AU101" s="122">
        <f>SUM(AU93:AU97)</f>
        <v>0</v>
      </c>
      <c r="AV101" s="122">
        <f>SUM(AV93:AV97)</f>
        <v>51000</v>
      </c>
      <c r="AX101" s="122">
        <f>SUM(AX93:AX97)</f>
        <v>0</v>
      </c>
      <c r="AY101" s="122">
        <f>SUM(AY93:AY97)</f>
        <v>51000</v>
      </c>
      <c r="BA101" s="122">
        <f>SUM(BA92:BA97)</f>
        <v>5000</v>
      </c>
      <c r="BB101" s="122">
        <f>SUM(BB92:BB97)</f>
        <v>56000</v>
      </c>
      <c r="BD101" s="122">
        <f>SUM(BD92:BD97)</f>
        <v>-10000</v>
      </c>
      <c r="BE101" s="122">
        <f>SUM(BE92:BE97)</f>
        <v>46000</v>
      </c>
      <c r="BG101" s="122">
        <f>SUM(BG92:BG97)</f>
        <v>-2000</v>
      </c>
      <c r="BH101" s="122">
        <f>SUM(BH92:BH97)</f>
        <v>44000</v>
      </c>
      <c r="BJ101" s="122">
        <f>SUM(BJ92:BJ97)</f>
        <v>38817.83</v>
      </c>
      <c r="BK101" s="236">
        <f t="shared" ref="BK101:BK102" si="348">BJ101/BH101</f>
        <v>0.88222340909090913</v>
      </c>
      <c r="BM101" s="122">
        <f>SUM(BM92:BM97)</f>
        <v>33200</v>
      </c>
      <c r="BN101" s="236">
        <f t="shared" ref="BN101:BN102" si="349">BM101/BJ101</f>
        <v>0.85527707241749473</v>
      </c>
      <c r="BO101" s="236">
        <f t="shared" ref="BO101:BO102" si="350">BM101/BH101</f>
        <v>0.75454545454545452</v>
      </c>
      <c r="BQ101" s="122">
        <f>SUM(BQ92:BQ97)</f>
        <v>0</v>
      </c>
      <c r="BR101" s="122">
        <f>SUM(BR92:BR97)</f>
        <v>33200</v>
      </c>
      <c r="BT101" s="122">
        <f>SUM(BT92:BT97)</f>
        <v>0</v>
      </c>
      <c r="BU101" s="122">
        <f>SUM(BU92:BU97)</f>
        <v>33200</v>
      </c>
      <c r="BW101" s="122">
        <f>SUM(BW92:BW97)</f>
        <v>0</v>
      </c>
      <c r="BX101" s="122">
        <f>SUM(BX92:BX97)</f>
        <v>33200</v>
      </c>
      <c r="BZ101" s="122">
        <f>SUM(BZ92:BZ97)</f>
        <v>26000</v>
      </c>
      <c r="CA101" s="122">
        <f>SUM(CA92:CA97)</f>
        <v>59200</v>
      </c>
      <c r="CC101" s="122">
        <f>SUM(CC92:CC97)</f>
        <v>0</v>
      </c>
      <c r="CD101" s="122">
        <f>SUM(CD92:CD97)</f>
        <v>59200</v>
      </c>
      <c r="CF101" s="122">
        <f>SUM(CF92:CF97)</f>
        <v>0</v>
      </c>
      <c r="CG101" s="122">
        <f>SUM(CG92:CG97)</f>
        <v>59200</v>
      </c>
      <c r="CI101" s="122">
        <f>SUM(CI92:CI97)</f>
        <v>0</v>
      </c>
      <c r="CJ101" s="122">
        <f>SUM(CJ92:CJ97)</f>
        <v>59200</v>
      </c>
      <c r="CL101" s="319">
        <f>SUM(CL92:CL97)</f>
        <v>500</v>
      </c>
      <c r="CM101" s="122">
        <f>SUM(CM92:CM97)</f>
        <v>59700</v>
      </c>
      <c r="CO101" s="122">
        <f>SUM(CO92:CO97)</f>
        <v>-19000</v>
      </c>
      <c r="CP101" s="122">
        <f>SUM(CP92:CP97)</f>
        <v>40700</v>
      </c>
      <c r="CR101" s="122">
        <f>SUM(CR92:CR97)</f>
        <v>0</v>
      </c>
      <c r="CS101" s="122">
        <f>SUM(CS92:CS97)</f>
        <v>40700</v>
      </c>
      <c r="CU101" s="122">
        <f>SUM(CU92:CU97)</f>
        <v>-8000</v>
      </c>
      <c r="CV101" s="122">
        <f>SUM(CV92:CV97)</f>
        <v>32700</v>
      </c>
      <c r="CX101" s="122">
        <f>SUM(CX92:CX97)</f>
        <v>0</v>
      </c>
      <c r="CY101" s="122">
        <f>SUM(CY92:CY97)</f>
        <v>32700</v>
      </c>
      <c r="DA101" s="122">
        <f>SUM(DA92:DA97)</f>
        <v>31838.42</v>
      </c>
      <c r="DC101" s="122">
        <f>SUM(DC92:DC97)</f>
        <v>65500</v>
      </c>
      <c r="DE101" s="122">
        <f>SUM(DE92:DE97)</f>
        <v>0</v>
      </c>
      <c r="DF101" s="122">
        <f>SUM(DF92:DF97)</f>
        <v>65500</v>
      </c>
      <c r="DH101" s="122">
        <f>SUM(DH92:DH97)</f>
        <v>15000</v>
      </c>
      <c r="DI101" s="122">
        <f>SUM(DI92:DI97)</f>
        <v>80500</v>
      </c>
      <c r="DK101" s="122">
        <f>SUM(DK92:DK97)</f>
        <v>0</v>
      </c>
      <c r="DL101" s="122">
        <f>SUM(DL92:DL97)</f>
        <v>80500</v>
      </c>
      <c r="DN101" s="122">
        <f>SUM(DN92:DN97)</f>
        <v>0</v>
      </c>
      <c r="DO101" s="122">
        <f>SUM(DO92:DO97)</f>
        <v>80500</v>
      </c>
      <c r="DQ101" s="122">
        <f>SUM(DQ92:DQ97)</f>
        <v>27000</v>
      </c>
      <c r="DR101" s="122">
        <f>SUM(DR92:DR97)</f>
        <v>107500</v>
      </c>
      <c r="DT101" s="122">
        <f>SUM(DT92:DT97)</f>
        <v>78000</v>
      </c>
      <c r="DU101" s="122">
        <f>SUM(DU92:DU97)</f>
        <v>185500</v>
      </c>
      <c r="DW101" s="122">
        <f>SUM(DW92:DW97)</f>
        <v>0</v>
      </c>
      <c r="DX101" s="122">
        <f>SUM(DX92:DX97)</f>
        <v>185500</v>
      </c>
      <c r="DZ101" s="122">
        <f>SUM(DZ92:DZ97)</f>
        <v>6000</v>
      </c>
      <c r="EA101" s="122">
        <f>SUM(EA92:EA97)</f>
        <v>191500</v>
      </c>
      <c r="EC101" s="122">
        <f>SUM(EC92:EC97)</f>
        <v>-32900</v>
      </c>
      <c r="ED101" s="122">
        <f>SUM(ED92:ED97)</f>
        <v>158600</v>
      </c>
      <c r="EF101" s="122">
        <f>SUM(EF92:EF97)</f>
        <v>4000</v>
      </c>
      <c r="EG101" s="122">
        <f>SUM(EG92:EG97)</f>
        <v>162600</v>
      </c>
      <c r="EI101" s="122">
        <f>SUM(EI92:EI97)</f>
        <v>161888.20000000001</v>
      </c>
      <c r="EK101" s="122">
        <f>SUM(EK88:EK97)</f>
        <v>316000</v>
      </c>
      <c r="EL101" s="377">
        <f>EK101/EI101-1</f>
        <v>0.95196438035631981</v>
      </c>
      <c r="EM101" s="122">
        <f>SUM(EM92:EM97)</f>
        <v>7300</v>
      </c>
      <c r="EN101" s="122">
        <f>SUM(EN88:EN97)</f>
        <v>323300</v>
      </c>
      <c r="EP101" s="122">
        <f>SUM(EP92:EP97)</f>
        <v>50000</v>
      </c>
      <c r="EQ101" s="122">
        <f>SUM(EQ88:EQ97)</f>
        <v>373300</v>
      </c>
      <c r="ES101" s="122">
        <f>SUM(ES92:ES97)</f>
        <v>0</v>
      </c>
      <c r="ET101" s="122">
        <f>SUM(ET88:ET97)</f>
        <v>373300</v>
      </c>
      <c r="EV101" s="122">
        <f>SUM(EV92:EV97)</f>
        <v>100000</v>
      </c>
      <c r="EW101" s="122">
        <f>SUM(EW88:EW97)</f>
        <v>473300</v>
      </c>
      <c r="EY101" s="122">
        <f>SUM(EY92:EY97)</f>
        <v>0</v>
      </c>
      <c r="EZ101" s="122">
        <f>SUM(EZ88:EZ97)</f>
        <v>473300</v>
      </c>
      <c r="FB101" s="122">
        <f>SUM(FB92:FB97)</f>
        <v>53000</v>
      </c>
      <c r="FC101" s="122">
        <f>SUM(FC88:FC97)</f>
        <v>526300</v>
      </c>
      <c r="FE101" s="122">
        <f>SUM(FE92:FE97)</f>
        <v>650</v>
      </c>
      <c r="FF101" s="122">
        <f>SUM(FF88:FF97)</f>
        <v>526950</v>
      </c>
      <c r="FH101" s="122">
        <f>SUM(FH92:FH97)</f>
        <v>0</v>
      </c>
      <c r="FI101" s="122">
        <f>SUM(FI88:FI97)</f>
        <v>526950</v>
      </c>
      <c r="FK101" s="122">
        <f>SUM(FK88:FK97)</f>
        <v>-107000</v>
      </c>
      <c r="FL101" s="122">
        <f>SUM(FL88:FL97)</f>
        <v>419950</v>
      </c>
      <c r="FN101" s="122">
        <f>SUM(FN88:FN97)</f>
        <v>0</v>
      </c>
      <c r="FO101" s="122">
        <f>SUM(FO88:FO97)</f>
        <v>419950</v>
      </c>
      <c r="FQ101" s="122">
        <v>0</v>
      </c>
      <c r="FR101" s="122">
        <v>419950</v>
      </c>
      <c r="FT101" s="122">
        <f>SUM(FT88:FT97)</f>
        <v>397997.63</v>
      </c>
      <c r="FV101" s="122">
        <f>SUM(FV88:FV97)</f>
        <v>79000</v>
      </c>
      <c r="FW101" s="235">
        <f t="shared" ref="FW101:FW112" si="351">FV101/FT101</f>
        <v>0.19849364429632407</v>
      </c>
    </row>
    <row r="102" spans="1:181" ht="15.75" customHeight="1" thickTop="1" thickBot="1">
      <c r="A102" s="64" t="s">
        <v>165</v>
      </c>
      <c r="B102" s="65" t="s">
        <v>357</v>
      </c>
      <c r="C102" s="284" t="s">
        <v>333</v>
      </c>
      <c r="D102" s="66">
        <f>D97</f>
        <v>2000</v>
      </c>
      <c r="E102" s="67"/>
      <c r="F102" s="66">
        <f>F97</f>
        <v>2000</v>
      </c>
      <c r="G102" s="67"/>
      <c r="H102" s="66"/>
      <c r="I102" s="66">
        <f>I97</f>
        <v>721</v>
      </c>
      <c r="J102" s="68"/>
      <c r="K102" s="69"/>
      <c r="L102" s="123">
        <f>L97</f>
        <v>1000</v>
      </c>
      <c r="M102" s="70">
        <f>L102/F102-1</f>
        <v>-0.5</v>
      </c>
      <c r="N102" s="70">
        <f>L102/I102-1</f>
        <v>0.38696255201109575</v>
      </c>
      <c r="Q102" s="123">
        <f>Q97</f>
        <v>1000</v>
      </c>
      <c r="R102" s="123">
        <f>R97</f>
        <v>349</v>
      </c>
      <c r="S102" s="123">
        <f>S97</f>
        <v>1000</v>
      </c>
      <c r="T102" s="123">
        <f>T97</f>
        <v>0</v>
      </c>
      <c r="U102" s="155">
        <f>S102/Q102-1</f>
        <v>0</v>
      </c>
      <c r="Y102" s="123">
        <f>Y97</f>
        <v>1000</v>
      </c>
      <c r="AA102" s="123">
        <f>AA97</f>
        <v>3000</v>
      </c>
      <c r="AB102" s="123">
        <f>AB97</f>
        <v>2000</v>
      </c>
      <c r="AE102" s="123">
        <f>AE97</f>
        <v>11000</v>
      </c>
      <c r="AF102" s="182"/>
      <c r="AH102" s="123">
        <f>AH97</f>
        <v>10923</v>
      </c>
      <c r="AI102" s="17">
        <f t="shared" si="344"/>
        <v>0.99299999999999999</v>
      </c>
      <c r="AK102" s="123">
        <f>AK97</f>
        <v>15000</v>
      </c>
      <c r="AL102" s="193">
        <f t="shared" si="345"/>
        <v>15</v>
      </c>
      <c r="AM102" s="17">
        <f t="shared" si="346"/>
        <v>1.3636363636363635</v>
      </c>
      <c r="AN102" s="17">
        <f t="shared" si="347"/>
        <v>1.3732491073880801</v>
      </c>
      <c r="AS102" s="123">
        <f>AS97</f>
        <v>15000</v>
      </c>
      <c r="AU102" s="123">
        <f>AU97</f>
        <v>0</v>
      </c>
      <c r="AV102" s="123">
        <f>AV97</f>
        <v>15000</v>
      </c>
      <c r="AX102" s="123">
        <f>AX97</f>
        <v>0</v>
      </c>
      <c r="AY102" s="123">
        <f>AY97</f>
        <v>15000</v>
      </c>
      <c r="BA102" s="123">
        <f>BA97</f>
        <v>0</v>
      </c>
      <c r="BB102" s="123">
        <f>BB97</f>
        <v>15000</v>
      </c>
      <c r="BD102" s="123">
        <f>BD97</f>
        <v>-13000</v>
      </c>
      <c r="BE102" s="123">
        <f>BE97</f>
        <v>2000</v>
      </c>
      <c r="BG102" s="123">
        <f>BG97</f>
        <v>0</v>
      </c>
      <c r="BH102" s="123">
        <f>BH97</f>
        <v>2000</v>
      </c>
      <c r="BJ102" s="123">
        <f>BJ97</f>
        <v>938</v>
      </c>
      <c r="BK102" s="236">
        <f t="shared" si="348"/>
        <v>0.46899999999999997</v>
      </c>
      <c r="BM102" s="123">
        <f>BM97</f>
        <v>2000</v>
      </c>
      <c r="BN102" s="236">
        <f t="shared" si="349"/>
        <v>2.1321961620469083</v>
      </c>
      <c r="BO102" s="236">
        <f t="shared" si="350"/>
        <v>1</v>
      </c>
      <c r="BQ102" s="123">
        <f>BQ97</f>
        <v>0</v>
      </c>
      <c r="BR102" s="123">
        <f>BR97</f>
        <v>2000</v>
      </c>
      <c r="BT102" s="123">
        <f>BT97</f>
        <v>0</v>
      </c>
      <c r="BU102" s="123">
        <f>BU97</f>
        <v>2000</v>
      </c>
      <c r="BW102" s="123">
        <f>BW97</f>
        <v>0</v>
      </c>
      <c r="BX102" s="123">
        <f>BX97</f>
        <v>2000</v>
      </c>
      <c r="BZ102" s="123">
        <f>BZ97</f>
        <v>1000</v>
      </c>
      <c r="CA102" s="123">
        <f>CA97</f>
        <v>3000</v>
      </c>
      <c r="CC102" s="123">
        <f>CC97</f>
        <v>0</v>
      </c>
      <c r="CD102" s="123">
        <f>CD97</f>
        <v>3000</v>
      </c>
      <c r="CF102" s="123">
        <f>CF97</f>
        <v>0</v>
      </c>
      <c r="CG102" s="123">
        <f>CG97</f>
        <v>3000</v>
      </c>
      <c r="CI102" s="123">
        <f>CI97</f>
        <v>0</v>
      </c>
      <c r="CJ102" s="123">
        <f>CJ97</f>
        <v>3000</v>
      </c>
      <c r="CL102" s="319">
        <f>CL97</f>
        <v>0</v>
      </c>
      <c r="CM102" s="123">
        <f>CM97</f>
        <v>3000</v>
      </c>
      <c r="CO102" s="123">
        <f>CO97</f>
        <v>0</v>
      </c>
      <c r="CP102" s="123">
        <f>CP97</f>
        <v>3000</v>
      </c>
      <c r="CR102" s="123">
        <f>CR97</f>
        <v>0</v>
      </c>
      <c r="CS102" s="123">
        <f>CS97</f>
        <v>3000</v>
      </c>
      <c r="CU102" s="123">
        <f>CU97</f>
        <v>-500</v>
      </c>
      <c r="CV102" s="123">
        <f>CV97</f>
        <v>2500</v>
      </c>
      <c r="CX102" s="123">
        <f>CX97</f>
        <v>0</v>
      </c>
      <c r="CY102" s="123">
        <f>CY97</f>
        <v>2500</v>
      </c>
      <c r="DA102" s="123">
        <f>DA97</f>
        <v>2449</v>
      </c>
      <c r="DC102" s="123">
        <f>DC97</f>
        <v>40000</v>
      </c>
      <c r="DE102" s="123">
        <f>DE97</f>
        <v>0</v>
      </c>
      <c r="DF102" s="123">
        <f>DF97</f>
        <v>40000</v>
      </c>
      <c r="DH102" s="123">
        <f>DH97</f>
        <v>0</v>
      </c>
      <c r="DI102" s="123">
        <f>DI97</f>
        <v>40000</v>
      </c>
      <c r="DK102" s="123">
        <f>DK97</f>
        <v>0</v>
      </c>
      <c r="DL102" s="123">
        <f>DL97</f>
        <v>40000</v>
      </c>
      <c r="DN102" s="123">
        <f>DN97</f>
        <v>0</v>
      </c>
      <c r="DO102" s="123">
        <f>DO97</f>
        <v>40000</v>
      </c>
      <c r="DQ102" s="123">
        <f>DQ97</f>
        <v>-3000</v>
      </c>
      <c r="DR102" s="123">
        <f>DR97</f>
        <v>37000</v>
      </c>
      <c r="DT102" s="123">
        <f>DT97</f>
        <v>0</v>
      </c>
      <c r="DU102" s="123">
        <f>DU97</f>
        <v>37000</v>
      </c>
      <c r="DW102" s="123">
        <f>DW97</f>
        <v>0</v>
      </c>
      <c r="DX102" s="123">
        <f>DX97</f>
        <v>37000</v>
      </c>
      <c r="DZ102" s="123">
        <f>DZ97</f>
        <v>0</v>
      </c>
      <c r="EA102" s="123">
        <f>EA97</f>
        <v>37000</v>
      </c>
      <c r="EC102" s="123">
        <f>EC97</f>
        <v>-18700</v>
      </c>
      <c r="ED102" s="123">
        <f>ED97</f>
        <v>18300</v>
      </c>
      <c r="EF102" s="123">
        <f>EF97</f>
        <v>0</v>
      </c>
      <c r="EG102" s="123">
        <f>EG97</f>
        <v>18300</v>
      </c>
      <c r="EI102" s="123">
        <f>EI97</f>
        <v>18138.86</v>
      </c>
      <c r="EK102" s="123">
        <f>EK97</f>
        <v>200000</v>
      </c>
      <c r="EM102" s="123">
        <f>EM97</f>
        <v>0</v>
      </c>
      <c r="EN102" s="123">
        <f>EN97</f>
        <v>200000</v>
      </c>
      <c r="EP102" s="123">
        <f>EP97</f>
        <v>50000</v>
      </c>
      <c r="EQ102" s="123">
        <f>EQ97</f>
        <v>250000</v>
      </c>
      <c r="ES102" s="123">
        <f>ES97</f>
        <v>0</v>
      </c>
      <c r="ET102" s="123">
        <f>ET97</f>
        <v>250000</v>
      </c>
      <c r="EV102" s="123">
        <f>EV97</f>
        <v>100000</v>
      </c>
      <c r="EW102" s="123">
        <f>EW97</f>
        <v>350000</v>
      </c>
      <c r="EY102" s="123">
        <f>EY97</f>
        <v>0</v>
      </c>
      <c r="EZ102" s="123">
        <f>EZ97</f>
        <v>350000</v>
      </c>
      <c r="FB102" s="123">
        <f>FB97</f>
        <v>50000</v>
      </c>
      <c r="FC102" s="123">
        <f>FC97</f>
        <v>400000</v>
      </c>
      <c r="FE102" s="123">
        <f>FE97</f>
        <v>0</v>
      </c>
      <c r="FF102" s="123">
        <f>FF97</f>
        <v>400000</v>
      </c>
      <c r="FH102" s="123">
        <f>FH97</f>
        <v>0</v>
      </c>
      <c r="FI102" s="123">
        <f>FI97</f>
        <v>400000</v>
      </c>
      <c r="FK102" s="123">
        <f>FK97</f>
        <v>-40000</v>
      </c>
      <c r="FL102" s="123">
        <f>FL97</f>
        <v>360000</v>
      </c>
      <c r="FN102" s="123">
        <f>FN97</f>
        <v>0</v>
      </c>
      <c r="FO102" s="123">
        <f>FO97</f>
        <v>360000</v>
      </c>
      <c r="FQ102" s="123">
        <v>0</v>
      </c>
      <c r="FR102" s="123">
        <v>360000</v>
      </c>
      <c r="FT102" s="123">
        <f>FT97</f>
        <v>352450.89</v>
      </c>
      <c r="FV102" s="123">
        <f>FV97</f>
        <v>30000</v>
      </c>
      <c r="FW102" s="235">
        <f t="shared" si="351"/>
        <v>8.511824157969923E-2</v>
      </c>
    </row>
    <row r="103" spans="1:181" ht="15" customHeight="1" thickTop="1" thickBot="1">
      <c r="A103" s="75" t="s">
        <v>165</v>
      </c>
      <c r="B103" s="76" t="s">
        <v>277</v>
      </c>
      <c r="C103" s="285" t="s">
        <v>166</v>
      </c>
      <c r="D103" s="167"/>
      <c r="E103" s="168"/>
      <c r="F103" s="167"/>
      <c r="G103" s="168"/>
      <c r="H103" s="167"/>
      <c r="I103" s="167"/>
      <c r="J103" s="169"/>
      <c r="K103" s="170"/>
      <c r="L103" s="349"/>
      <c r="M103" s="350"/>
      <c r="N103" s="350"/>
      <c r="Q103" s="349"/>
      <c r="R103" s="349"/>
      <c r="S103" s="349"/>
      <c r="T103" s="349"/>
      <c r="U103" s="155"/>
      <c r="Y103" s="349"/>
      <c r="AA103" s="349"/>
      <c r="AB103" s="349"/>
      <c r="AE103" s="349"/>
      <c r="AF103" s="182"/>
      <c r="AH103" s="349"/>
      <c r="AI103" s="17"/>
      <c r="AK103" s="349"/>
      <c r="AL103" s="193"/>
      <c r="AM103" s="17"/>
      <c r="AN103" s="17"/>
      <c r="AS103" s="349"/>
      <c r="AU103" s="349"/>
      <c r="AV103" s="349"/>
      <c r="AX103" s="349"/>
      <c r="AY103" s="349"/>
      <c r="BA103" s="349"/>
      <c r="BB103" s="349"/>
      <c r="BD103" s="349"/>
      <c r="BE103" s="349"/>
      <c r="BG103" s="349"/>
      <c r="BH103" s="349"/>
      <c r="BJ103" s="349"/>
      <c r="BK103" s="329"/>
      <c r="BM103" s="349"/>
      <c r="BN103" s="329"/>
      <c r="BO103" s="329"/>
      <c r="BQ103" s="349"/>
      <c r="BR103" s="349"/>
      <c r="BT103" s="349"/>
      <c r="BU103" s="349"/>
      <c r="BW103" s="349"/>
      <c r="BX103" s="349"/>
      <c r="BZ103" s="349"/>
      <c r="CA103" s="349"/>
      <c r="CC103" s="349"/>
      <c r="CD103" s="349"/>
      <c r="CF103" s="349"/>
      <c r="CG103" s="349"/>
      <c r="CI103" s="349"/>
      <c r="CJ103" s="349"/>
      <c r="CL103" s="121"/>
      <c r="CM103" s="349"/>
      <c r="CO103" s="349"/>
      <c r="CP103" s="349"/>
      <c r="CR103" s="349"/>
      <c r="CS103" s="349"/>
      <c r="CU103" s="349"/>
      <c r="CV103" s="349"/>
      <c r="CX103" s="349"/>
      <c r="CY103" s="349"/>
      <c r="DA103" s="121"/>
      <c r="DC103" s="124">
        <f>DC99</f>
        <v>378000</v>
      </c>
      <c r="DE103" s="124">
        <f>DE99</f>
        <v>0</v>
      </c>
      <c r="DF103" s="124">
        <f>DF99</f>
        <v>378000</v>
      </c>
      <c r="DH103" s="124">
        <f>DH99</f>
        <v>0</v>
      </c>
      <c r="DI103" s="124">
        <f>DI99</f>
        <v>378000</v>
      </c>
      <c r="DK103" s="124">
        <f>DK99+DK98</f>
        <v>866540.65999999992</v>
      </c>
      <c r="DL103" s="124">
        <f>DL99+DL98</f>
        <v>1244540.6599999999</v>
      </c>
      <c r="DN103" s="124">
        <f>DN99+DN98</f>
        <v>0</v>
      </c>
      <c r="DO103" s="124">
        <f>DO99+DO98</f>
        <v>1244540.6599999999</v>
      </c>
      <c r="DQ103" s="124">
        <f>DQ99+DQ98</f>
        <v>0</v>
      </c>
      <c r="DR103" s="124">
        <f>DR99+DR98</f>
        <v>1244540.6599999999</v>
      </c>
      <c r="DT103" s="124">
        <f>DT99+DT98</f>
        <v>0</v>
      </c>
      <c r="DU103" s="124">
        <f>DU99+DU98</f>
        <v>1244540.6599999999</v>
      </c>
      <c r="DW103" s="124">
        <f>DW99+DW98</f>
        <v>0</v>
      </c>
      <c r="DX103" s="124">
        <f>DX99+DX98</f>
        <v>1244540.6599999999</v>
      </c>
      <c r="DZ103" s="124">
        <f>DZ99+DZ98</f>
        <v>0</v>
      </c>
      <c r="EA103" s="124">
        <f>EA99+EA98</f>
        <v>1244540.6599999999</v>
      </c>
      <c r="EC103" s="124">
        <f>EC99+EC98</f>
        <v>0</v>
      </c>
      <c r="ED103" s="124">
        <f>ED99+ED98</f>
        <v>1244540.6599999999</v>
      </c>
      <c r="EF103" s="124">
        <f>EF99+EF98</f>
        <v>0</v>
      </c>
      <c r="EG103" s="124">
        <f>EG99+EG98</f>
        <v>1244540.6599999999</v>
      </c>
      <c r="EI103" s="124">
        <f>EI99+EI98</f>
        <v>1244540.6599999999</v>
      </c>
      <c r="EK103" s="124">
        <f>EK99+EK98</f>
        <v>157300</v>
      </c>
      <c r="EL103" s="377">
        <f>EK103/EI103-1</f>
        <v>-0.8736079864196642</v>
      </c>
      <c r="EM103" s="124">
        <f>EM99+EM98</f>
        <v>-7300</v>
      </c>
      <c r="EN103" s="124">
        <f>EN99+EN98</f>
        <v>150000</v>
      </c>
      <c r="EP103" s="124">
        <f>EP99+EP98</f>
        <v>0</v>
      </c>
      <c r="EQ103" s="124">
        <f>EQ99+EQ98</f>
        <v>150000</v>
      </c>
      <c r="ES103" s="124">
        <f>ES99+ES98</f>
        <v>0</v>
      </c>
      <c r="ET103" s="124">
        <f>ET99+ET98</f>
        <v>150000</v>
      </c>
      <c r="EV103" s="124">
        <f>EV99+EV98</f>
        <v>80000</v>
      </c>
      <c r="EW103" s="124">
        <f>EW99+EW98</f>
        <v>230000</v>
      </c>
      <c r="EY103" s="124">
        <f>EY99+EY98</f>
        <v>0</v>
      </c>
      <c r="EZ103" s="124">
        <f>EZ99+EZ98</f>
        <v>230000</v>
      </c>
      <c r="FB103" s="124">
        <f>FB99+FB98</f>
        <v>61000</v>
      </c>
      <c r="FC103" s="124">
        <f>FC99+FC98</f>
        <v>291000</v>
      </c>
      <c r="FE103" s="124">
        <f>FE99+FE98</f>
        <v>10000</v>
      </c>
      <c r="FF103" s="124">
        <f>FF99+FF98</f>
        <v>301000</v>
      </c>
      <c r="FH103" s="124">
        <f>FH99+FH98</f>
        <v>30000</v>
      </c>
      <c r="FI103" s="124">
        <f>FI99+FI98</f>
        <v>331000</v>
      </c>
      <c r="FK103" s="124">
        <f>FK99+FK98</f>
        <v>100000</v>
      </c>
      <c r="FL103" s="124">
        <f>FL99+FL98</f>
        <v>431000</v>
      </c>
      <c r="FN103" s="124">
        <f>FN99+FN98</f>
        <v>0</v>
      </c>
      <c r="FO103" s="124">
        <f>FO99+FO98</f>
        <v>431000</v>
      </c>
      <c r="FQ103" s="124">
        <v>0</v>
      </c>
      <c r="FR103" s="124">
        <v>431000</v>
      </c>
      <c r="FT103" s="124">
        <f>FT99+FT98</f>
        <v>411409.06</v>
      </c>
      <c r="FV103" s="124">
        <f>FV99+FV98</f>
        <v>50000</v>
      </c>
      <c r="FW103" s="235">
        <f t="shared" si="351"/>
        <v>0.12153354133717911</v>
      </c>
    </row>
    <row r="104" spans="1:181" ht="15.75" outlineLevel="1" thickTop="1">
      <c r="A104" s="1" t="s">
        <v>167</v>
      </c>
      <c r="B104" s="1" t="s">
        <v>146</v>
      </c>
      <c r="C104" s="4" t="s">
        <v>147</v>
      </c>
      <c r="D104" s="43">
        <v>2000</v>
      </c>
      <c r="E104" s="34">
        <v>0</v>
      </c>
      <c r="F104" s="43">
        <v>2000</v>
      </c>
      <c r="G104" s="34">
        <v>0</v>
      </c>
      <c r="H104" s="46">
        <v>0</v>
      </c>
      <c r="I104" s="36">
        <v>0</v>
      </c>
      <c r="J104" s="14"/>
      <c r="L104" s="118">
        <v>1000</v>
      </c>
      <c r="M104" s="17">
        <f t="shared" si="337"/>
        <v>-0.5</v>
      </c>
      <c r="N104" s="17" t="e">
        <f t="shared" si="338"/>
        <v>#DIV/0!</v>
      </c>
      <c r="Q104" s="118">
        <v>1000</v>
      </c>
      <c r="R104" s="15">
        <v>0</v>
      </c>
      <c r="S104" s="118">
        <v>1000</v>
      </c>
      <c r="T104" s="15">
        <f t="shared" ref="T104:T112" si="352">S104-Q104</f>
        <v>0</v>
      </c>
      <c r="U104" s="16">
        <f t="shared" ref="U104:U112" si="353">S104/Q104-1</f>
        <v>0</v>
      </c>
      <c r="Y104" s="118">
        <v>1000</v>
      </c>
      <c r="AA104" s="118">
        <v>0</v>
      </c>
      <c r="AB104" s="185">
        <f t="shared" ref="AB104:AB112" si="354">AA104-Y104</f>
        <v>-1000</v>
      </c>
      <c r="AC104" s="187">
        <f t="shared" ref="AC104:AC112" si="355">AA104-Y104</f>
        <v>-1000</v>
      </c>
      <c r="AD104" s="187"/>
      <c r="AE104" s="118">
        <v>0</v>
      </c>
      <c r="AF104" s="182"/>
      <c r="AH104" s="15">
        <v>0</v>
      </c>
      <c r="AK104" s="118">
        <v>0</v>
      </c>
      <c r="AS104" s="15">
        <f t="shared" ref="AS104:AS112" si="356">AR104+AK104</f>
        <v>0</v>
      </c>
      <c r="AV104" s="15">
        <f t="shared" ref="AV104:AV112" si="357">AS104+AU104</f>
        <v>0</v>
      </c>
      <c r="AX104" s="15"/>
      <c r="AY104" s="15">
        <f t="shared" ref="AY104:AY112" si="358">AV104+AX104</f>
        <v>0</v>
      </c>
      <c r="BB104" s="15">
        <f t="shared" ref="BB104:BB112" si="359">AY104+BA104</f>
        <v>0</v>
      </c>
      <c r="BD104" s="15"/>
      <c r="BE104" s="15">
        <f t="shared" ref="BE104:BE112" si="360">BB104+BD104</f>
        <v>0</v>
      </c>
      <c r="BG104" s="15"/>
      <c r="BH104" s="15">
        <f t="shared" ref="BH104:BH112" si="361">BE104+BG104</f>
        <v>0</v>
      </c>
      <c r="BM104" s="15"/>
      <c r="BQ104" s="15"/>
      <c r="BR104" s="15"/>
      <c r="BT104" s="15"/>
      <c r="BU104" s="15"/>
      <c r="BW104" s="15"/>
      <c r="BX104" s="15"/>
      <c r="BZ104" s="15"/>
      <c r="CA104" s="15"/>
      <c r="CC104" s="15"/>
      <c r="CD104" s="15"/>
      <c r="CF104" s="15"/>
      <c r="CG104" s="15"/>
      <c r="CI104" s="15"/>
      <c r="CJ104" s="15"/>
      <c r="CM104" s="15"/>
      <c r="CP104" s="15"/>
      <c r="CS104" s="15"/>
      <c r="CV104" s="15"/>
      <c r="CY104" s="15"/>
      <c r="DE104" s="15"/>
      <c r="DF104" s="15">
        <f t="shared" ref="DF104:DF112" si="362">DC104+DE104</f>
        <v>0</v>
      </c>
      <c r="DH104" s="15"/>
      <c r="DI104" s="15">
        <f t="shared" ref="DI104:DI112" si="363">DF104+DH104</f>
        <v>0</v>
      </c>
      <c r="DK104" s="15"/>
      <c r="DL104" s="15">
        <f t="shared" ref="DL104:DL112" si="364">DI104+DK104</f>
        <v>0</v>
      </c>
      <c r="DN104" s="15"/>
      <c r="DO104" s="15">
        <f t="shared" ref="DO104:DO112" si="365">DL104+DN104</f>
        <v>0</v>
      </c>
      <c r="DQ104" s="15"/>
      <c r="DR104" s="15">
        <f t="shared" ref="DR104:DR112" si="366">DO104+DQ104</f>
        <v>0</v>
      </c>
      <c r="DT104" s="15"/>
      <c r="DU104" s="15">
        <f t="shared" ref="DU104:DU112" si="367">DR104+DT104</f>
        <v>0</v>
      </c>
      <c r="DW104" s="15"/>
      <c r="DX104" s="15">
        <f t="shared" ref="DX104:DX112" si="368">DU104+DW104</f>
        <v>0</v>
      </c>
      <c r="DZ104" s="15"/>
      <c r="EA104" s="15">
        <f t="shared" ref="EA104:EA112" si="369">DX104+DZ104</f>
        <v>0</v>
      </c>
      <c r="EC104" s="15"/>
      <c r="ED104" s="15">
        <f t="shared" ref="ED104:ED112" si="370">EA104+EC104</f>
        <v>0</v>
      </c>
      <c r="EF104" s="15"/>
      <c r="EG104" s="15">
        <f t="shared" ref="EG104:EG112" si="371">ED104+EF104</f>
        <v>0</v>
      </c>
      <c r="EK104" s="15"/>
      <c r="EM104" s="15"/>
      <c r="EN104" s="15">
        <f t="shared" ref="EN104:EN112" si="372">EK104+EM104</f>
        <v>0</v>
      </c>
      <c r="EP104" s="15"/>
      <c r="EQ104" s="15">
        <f t="shared" ref="EQ104:EQ112" si="373">EN104+EP104</f>
        <v>0</v>
      </c>
      <c r="ES104" s="15"/>
      <c r="ET104" s="15">
        <f t="shared" ref="ET104:ET112" si="374">EQ104+ES104</f>
        <v>0</v>
      </c>
      <c r="EW104" s="15">
        <f t="shared" ref="EW104:EW112" si="375">ET104+EV104</f>
        <v>0</v>
      </c>
      <c r="EZ104" s="15">
        <f t="shared" ref="EZ104:EZ112" si="376">EW104+EY104</f>
        <v>0</v>
      </c>
      <c r="FC104" s="15">
        <f t="shared" ref="FC104:FC112" si="377">EZ104+FB104</f>
        <v>0</v>
      </c>
      <c r="FF104" s="15">
        <f t="shared" ref="FF104:FF112" si="378">FC104+FE104</f>
        <v>0</v>
      </c>
      <c r="FI104" s="15">
        <f t="shared" ref="FI104:FI112" si="379">FF104+FH104</f>
        <v>0</v>
      </c>
      <c r="FL104" s="15">
        <f t="shared" ref="FL104:FL112" si="380">FI104+FK104</f>
        <v>0</v>
      </c>
      <c r="FO104" s="15">
        <f t="shared" ref="FO104:FO112" si="381">FL104+FN104</f>
        <v>0</v>
      </c>
      <c r="FR104" s="15">
        <v>0</v>
      </c>
      <c r="FW104" s="235" t="e">
        <f t="shared" si="351"/>
        <v>#DIV/0!</v>
      </c>
    </row>
    <row r="105" spans="1:181" outlineLevel="1">
      <c r="A105" s="1" t="s">
        <v>167</v>
      </c>
      <c r="B105" s="1" t="s">
        <v>157</v>
      </c>
      <c r="C105" s="4" t="s">
        <v>158</v>
      </c>
      <c r="D105" s="43">
        <v>2100</v>
      </c>
      <c r="E105" s="34">
        <v>22.86</v>
      </c>
      <c r="F105" s="43">
        <v>2100</v>
      </c>
      <c r="G105" s="34">
        <v>22.86</v>
      </c>
      <c r="H105" s="46">
        <v>480</v>
      </c>
      <c r="I105" s="36">
        <v>1000</v>
      </c>
      <c r="K105" t="s">
        <v>332</v>
      </c>
      <c r="L105" s="118">
        <v>2500</v>
      </c>
      <c r="M105" s="17">
        <f t="shared" si="337"/>
        <v>0.19047619047619047</v>
      </c>
      <c r="N105" s="17">
        <f t="shared" si="338"/>
        <v>1.5</v>
      </c>
      <c r="Q105" s="118">
        <v>2500</v>
      </c>
      <c r="R105" s="15">
        <v>732</v>
      </c>
      <c r="S105" s="118">
        <v>1500</v>
      </c>
      <c r="T105" s="15">
        <f t="shared" si="352"/>
        <v>-1000</v>
      </c>
      <c r="U105" s="16">
        <f t="shared" si="353"/>
        <v>-0.4</v>
      </c>
      <c r="Y105" s="118">
        <v>1500</v>
      </c>
      <c r="AA105" s="118">
        <v>1500</v>
      </c>
      <c r="AB105" s="185">
        <f t="shared" si="354"/>
        <v>0</v>
      </c>
      <c r="AC105" s="187">
        <f t="shared" si="355"/>
        <v>0</v>
      </c>
      <c r="AD105" s="187"/>
      <c r="AE105" s="118">
        <v>3100</v>
      </c>
      <c r="AF105" s="182">
        <f t="shared" si="339"/>
        <v>1600</v>
      </c>
      <c r="AH105" s="15">
        <v>3008</v>
      </c>
      <c r="AI105" s="17">
        <f t="shared" ref="AI105:AI107" si="382">AH105/AE105</f>
        <v>0.9703225806451613</v>
      </c>
      <c r="AK105" s="118">
        <v>3100</v>
      </c>
      <c r="AS105" s="15">
        <f t="shared" si="356"/>
        <v>3100</v>
      </c>
      <c r="AV105" s="15">
        <f t="shared" si="357"/>
        <v>3100</v>
      </c>
      <c r="AX105" s="15"/>
      <c r="AY105" s="15">
        <f t="shared" si="358"/>
        <v>3100</v>
      </c>
      <c r="BB105" s="15">
        <f t="shared" si="359"/>
        <v>3100</v>
      </c>
      <c r="BD105" s="15">
        <v>-1500</v>
      </c>
      <c r="BE105" s="15">
        <f t="shared" si="360"/>
        <v>1600</v>
      </c>
      <c r="BG105" s="15">
        <v>5000</v>
      </c>
      <c r="BH105" s="15">
        <f t="shared" si="361"/>
        <v>6600</v>
      </c>
      <c r="BJ105" s="15">
        <v>6248</v>
      </c>
      <c r="BK105" s="235">
        <f t="shared" ref="BK105:BK107" si="383">BJ105/BH105</f>
        <v>0.94666666666666666</v>
      </c>
      <c r="BM105" s="15">
        <f>2*1250+3500</f>
        <v>6000</v>
      </c>
      <c r="BN105" s="235">
        <f t="shared" ref="BN105:BN112" si="384">BM105/BJ105</f>
        <v>0.96030729833546735</v>
      </c>
      <c r="BO105" s="235">
        <f t="shared" ref="BO105:BO112" si="385">BM105/BH105</f>
        <v>0.90909090909090906</v>
      </c>
      <c r="BQ105" s="15"/>
      <c r="BR105" s="15">
        <f t="shared" ref="BR105:BR107" si="386">BM105+BQ105</f>
        <v>6000</v>
      </c>
      <c r="BT105" s="15"/>
      <c r="BU105" s="15">
        <f>BR105+BT105</f>
        <v>6000</v>
      </c>
      <c r="BW105" s="15"/>
      <c r="BX105" s="15">
        <f>BU105+BW105</f>
        <v>6000</v>
      </c>
      <c r="BZ105" s="15"/>
      <c r="CA105" s="15">
        <f>BX105+BZ105</f>
        <v>6000</v>
      </c>
      <c r="CC105" s="15"/>
      <c r="CD105" s="15">
        <f>CA105+CC105</f>
        <v>6000</v>
      </c>
      <c r="CF105" s="15"/>
      <c r="CG105" s="15">
        <f>CD105+CF105</f>
        <v>6000</v>
      </c>
      <c r="CI105" s="15"/>
      <c r="CJ105" s="15">
        <f>CG105+CI105</f>
        <v>6000</v>
      </c>
      <c r="CM105" s="15">
        <f>CJ105+CL105</f>
        <v>6000</v>
      </c>
      <c r="CO105" s="15">
        <v>-3000</v>
      </c>
      <c r="CP105" s="15">
        <f>CM105+CO105</f>
        <v>3000</v>
      </c>
      <c r="CS105" s="15">
        <f>CP105+CR105</f>
        <v>3000</v>
      </c>
      <c r="CU105" s="227">
        <v>-1000</v>
      </c>
      <c r="CV105" s="15">
        <f>CS105+CU105</f>
        <v>2000</v>
      </c>
      <c r="CX105" s="227"/>
      <c r="CY105" s="15">
        <f>CV105+CX105</f>
        <v>2000</v>
      </c>
      <c r="DA105" s="15">
        <v>1997</v>
      </c>
      <c r="DC105" s="15">
        <v>2000</v>
      </c>
      <c r="DE105" s="227">
        <v>3200</v>
      </c>
      <c r="DF105" s="15">
        <f t="shared" si="362"/>
        <v>5200</v>
      </c>
      <c r="DH105" s="15"/>
      <c r="DI105" s="15">
        <f t="shared" si="363"/>
        <v>5200</v>
      </c>
      <c r="DK105" s="15"/>
      <c r="DL105" s="15">
        <f t="shared" si="364"/>
        <v>5200</v>
      </c>
      <c r="DN105" s="15"/>
      <c r="DO105" s="15">
        <f t="shared" si="365"/>
        <v>5200</v>
      </c>
      <c r="DQ105" s="15"/>
      <c r="DR105" s="15">
        <f t="shared" si="366"/>
        <v>5200</v>
      </c>
      <c r="DT105" s="227">
        <v>1800</v>
      </c>
      <c r="DU105" s="15">
        <f t="shared" si="367"/>
        <v>7000</v>
      </c>
      <c r="DW105" s="15"/>
      <c r="DX105" s="15">
        <f t="shared" si="368"/>
        <v>7000</v>
      </c>
      <c r="DZ105" s="15"/>
      <c r="EA105" s="15">
        <f t="shared" si="369"/>
        <v>7000</v>
      </c>
      <c r="EC105" s="227">
        <v>-2000</v>
      </c>
      <c r="ED105" s="15">
        <f t="shared" si="370"/>
        <v>5000</v>
      </c>
      <c r="EF105" s="15"/>
      <c r="EG105" s="15">
        <f t="shared" si="371"/>
        <v>5000</v>
      </c>
      <c r="EI105" s="15">
        <v>4704.8</v>
      </c>
      <c r="EK105" s="15">
        <v>5000</v>
      </c>
      <c r="EM105" s="15"/>
      <c r="EN105" s="15">
        <f t="shared" si="372"/>
        <v>5000</v>
      </c>
      <c r="EP105" s="15"/>
      <c r="EQ105" s="15">
        <f t="shared" si="373"/>
        <v>5000</v>
      </c>
      <c r="ES105" s="15"/>
      <c r="ET105" s="15">
        <f t="shared" si="374"/>
        <v>5000</v>
      </c>
      <c r="EW105" s="15">
        <f t="shared" si="375"/>
        <v>5000</v>
      </c>
      <c r="EZ105" s="15">
        <f t="shared" si="376"/>
        <v>5000</v>
      </c>
      <c r="FC105" s="15">
        <f t="shared" si="377"/>
        <v>5000</v>
      </c>
      <c r="FF105" s="15">
        <f t="shared" si="378"/>
        <v>5000</v>
      </c>
      <c r="FI105" s="15">
        <f t="shared" si="379"/>
        <v>5000</v>
      </c>
      <c r="FK105" s="227">
        <v>-1500</v>
      </c>
      <c r="FL105" s="15">
        <f t="shared" si="380"/>
        <v>3500</v>
      </c>
      <c r="FN105" s="227">
        <v>2300</v>
      </c>
      <c r="FO105" s="15">
        <f t="shared" si="381"/>
        <v>5800</v>
      </c>
      <c r="FQ105" s="227">
        <v>3850</v>
      </c>
      <c r="FR105" s="15">
        <v>9650</v>
      </c>
      <c r="FT105" s="15">
        <v>9631</v>
      </c>
      <c r="FV105" s="15">
        <v>10000</v>
      </c>
      <c r="FW105" s="235">
        <f t="shared" si="351"/>
        <v>1.0383137784238397</v>
      </c>
    </row>
    <row r="106" spans="1:181" outlineLevel="1">
      <c r="A106" s="1" t="s">
        <v>167</v>
      </c>
      <c r="B106" s="1" t="s">
        <v>159</v>
      </c>
      <c r="C106" s="4" t="s">
        <v>160</v>
      </c>
      <c r="D106" s="43">
        <v>67000</v>
      </c>
      <c r="E106" s="34">
        <v>17.93</v>
      </c>
      <c r="F106" s="43">
        <v>67000</v>
      </c>
      <c r="G106" s="34">
        <v>17.93</v>
      </c>
      <c r="H106" s="46">
        <v>12010</v>
      </c>
      <c r="I106" s="36">
        <v>40000</v>
      </c>
      <c r="J106" s="14"/>
      <c r="K106" t="s">
        <v>332</v>
      </c>
      <c r="L106" s="118">
        <v>48800</v>
      </c>
      <c r="M106" s="17">
        <f t="shared" si="337"/>
        <v>-0.27164179104477615</v>
      </c>
      <c r="N106" s="17">
        <f t="shared" si="338"/>
        <v>0.21999999999999997</v>
      </c>
      <c r="Q106" s="118">
        <v>48800</v>
      </c>
      <c r="R106" s="15">
        <v>6224</v>
      </c>
      <c r="S106" s="118">
        <v>30000</v>
      </c>
      <c r="T106" s="15">
        <f t="shared" si="352"/>
        <v>-18800</v>
      </c>
      <c r="U106" s="16">
        <f t="shared" si="353"/>
        <v>-0.38524590163934425</v>
      </c>
      <c r="Y106" s="118">
        <v>30000</v>
      </c>
      <c r="AA106" s="118">
        <v>25000</v>
      </c>
      <c r="AB106" s="185">
        <f t="shared" si="354"/>
        <v>-5000</v>
      </c>
      <c r="AC106" s="187">
        <f t="shared" si="355"/>
        <v>-5000</v>
      </c>
      <c r="AD106" s="187"/>
      <c r="AE106" s="118">
        <v>25000</v>
      </c>
      <c r="AF106" s="182"/>
      <c r="AH106" s="15">
        <v>23224.32</v>
      </c>
      <c r="AI106" s="17">
        <f t="shared" si="382"/>
        <v>0.92897280000000004</v>
      </c>
      <c r="AK106" s="118">
        <v>25000</v>
      </c>
      <c r="AS106" s="15">
        <f t="shared" si="356"/>
        <v>25000</v>
      </c>
      <c r="AV106" s="15">
        <f t="shared" si="357"/>
        <v>25000</v>
      </c>
      <c r="AX106" s="15"/>
      <c r="AY106" s="15">
        <f t="shared" si="358"/>
        <v>25000</v>
      </c>
      <c r="BB106" s="15">
        <f t="shared" si="359"/>
        <v>25000</v>
      </c>
      <c r="BD106" s="15"/>
      <c r="BE106" s="15">
        <f t="shared" si="360"/>
        <v>25000</v>
      </c>
      <c r="BG106" s="15">
        <v>1500</v>
      </c>
      <c r="BH106" s="15">
        <f t="shared" si="361"/>
        <v>26500</v>
      </c>
      <c r="BJ106" s="15">
        <v>26263.33</v>
      </c>
      <c r="BK106" s="235">
        <f t="shared" si="383"/>
        <v>0.99106905660377365</v>
      </c>
      <c r="BM106" s="196">
        <f>12*7100</f>
        <v>85200</v>
      </c>
      <c r="BN106" s="235">
        <f t="shared" si="384"/>
        <v>3.2440669176376336</v>
      </c>
      <c r="BO106" s="235">
        <f t="shared" si="385"/>
        <v>3.2150943396226417</v>
      </c>
      <c r="BQ106" s="15"/>
      <c r="BR106" s="15">
        <f t="shared" si="386"/>
        <v>85200</v>
      </c>
      <c r="BT106" s="15"/>
      <c r="BU106" s="15">
        <f>BR106+BT106</f>
        <v>85200</v>
      </c>
      <c r="BW106" s="15"/>
      <c r="BX106" s="15">
        <f>BU106+BW106</f>
        <v>85200</v>
      </c>
      <c r="BZ106" s="15"/>
      <c r="CA106" s="15">
        <f>BX106+BZ106</f>
        <v>85200</v>
      </c>
      <c r="CC106" s="15"/>
      <c r="CD106" s="15">
        <f>CA106+CC106</f>
        <v>85200</v>
      </c>
      <c r="CF106" s="15"/>
      <c r="CG106" s="15">
        <f>CD106+CF106</f>
        <v>85200</v>
      </c>
      <c r="CI106" s="15"/>
      <c r="CJ106" s="15">
        <f>CG106+CI106</f>
        <v>85200</v>
      </c>
      <c r="CL106" s="15">
        <v>10000</v>
      </c>
      <c r="CM106" s="15">
        <f>CJ106+CL106</f>
        <v>95200</v>
      </c>
      <c r="CO106" s="15">
        <v>10000</v>
      </c>
      <c r="CP106" s="15">
        <f>CM106+CO106</f>
        <v>105200</v>
      </c>
      <c r="CS106" s="15">
        <f>CP106+CR106</f>
        <v>105200</v>
      </c>
      <c r="CU106" s="227">
        <v>8800</v>
      </c>
      <c r="CV106" s="15">
        <f>CS106+CU106</f>
        <v>114000</v>
      </c>
      <c r="CX106" s="227"/>
      <c r="CY106" s="15">
        <f>CV106+CX106</f>
        <v>114000</v>
      </c>
      <c r="DA106" s="15">
        <v>113862</v>
      </c>
      <c r="DC106" s="15">
        <v>110000</v>
      </c>
      <c r="DE106" s="227">
        <v>-3200</v>
      </c>
      <c r="DF106" s="15">
        <f t="shared" si="362"/>
        <v>106800</v>
      </c>
      <c r="DH106" s="15"/>
      <c r="DI106" s="15">
        <f t="shared" si="363"/>
        <v>106800</v>
      </c>
      <c r="DK106" s="15"/>
      <c r="DL106" s="15">
        <f t="shared" si="364"/>
        <v>106800</v>
      </c>
      <c r="DN106" s="15"/>
      <c r="DO106" s="15">
        <f t="shared" si="365"/>
        <v>106800</v>
      </c>
      <c r="DQ106" s="227">
        <v>-37800</v>
      </c>
      <c r="DR106" s="15">
        <f t="shared" si="366"/>
        <v>69000</v>
      </c>
      <c r="DT106" s="15"/>
      <c r="DU106" s="15">
        <f t="shared" si="367"/>
        <v>69000</v>
      </c>
      <c r="DW106" s="15"/>
      <c r="DX106" s="15">
        <f t="shared" si="368"/>
        <v>69000</v>
      </c>
      <c r="DZ106" s="227">
        <v>8000</v>
      </c>
      <c r="EA106" s="15">
        <f t="shared" si="369"/>
        <v>77000</v>
      </c>
      <c r="EC106" s="227">
        <v>10000</v>
      </c>
      <c r="ED106" s="15">
        <f t="shared" si="370"/>
        <v>87000</v>
      </c>
      <c r="EF106" s="227">
        <v>10600</v>
      </c>
      <c r="EG106" s="15">
        <f t="shared" si="371"/>
        <v>97600</v>
      </c>
      <c r="EI106" s="15">
        <v>97519</v>
      </c>
      <c r="EK106" s="15">
        <v>100000</v>
      </c>
      <c r="EM106" s="15"/>
      <c r="EN106" s="15">
        <f t="shared" si="372"/>
        <v>100000</v>
      </c>
      <c r="EP106" s="15"/>
      <c r="EQ106" s="15">
        <f t="shared" si="373"/>
        <v>100000</v>
      </c>
      <c r="ES106" s="15"/>
      <c r="ET106" s="15">
        <f t="shared" si="374"/>
        <v>100000</v>
      </c>
      <c r="EW106" s="15">
        <f t="shared" si="375"/>
        <v>100000</v>
      </c>
      <c r="EZ106" s="15">
        <f t="shared" si="376"/>
        <v>100000</v>
      </c>
      <c r="FC106" s="15">
        <f t="shared" si="377"/>
        <v>100000</v>
      </c>
      <c r="FF106" s="15">
        <f t="shared" si="378"/>
        <v>100000</v>
      </c>
      <c r="FI106" s="15">
        <f t="shared" si="379"/>
        <v>100000</v>
      </c>
      <c r="FK106" s="227">
        <v>-15000</v>
      </c>
      <c r="FL106" s="15">
        <f t="shared" si="380"/>
        <v>85000</v>
      </c>
      <c r="FO106" s="15">
        <f t="shared" si="381"/>
        <v>85000</v>
      </c>
      <c r="FR106" s="15">
        <v>85000</v>
      </c>
      <c r="FT106" s="15">
        <v>84719.52</v>
      </c>
      <c r="FV106" s="15">
        <v>85000</v>
      </c>
      <c r="FW106" s="235">
        <f t="shared" si="351"/>
        <v>1.0033106892012609</v>
      </c>
    </row>
    <row r="107" spans="1:181" outlineLevel="1">
      <c r="A107" s="1" t="s">
        <v>167</v>
      </c>
      <c r="B107" s="1" t="s">
        <v>161</v>
      </c>
      <c r="C107" s="4" t="s">
        <v>162</v>
      </c>
      <c r="D107" s="43">
        <v>5500</v>
      </c>
      <c r="E107" s="34">
        <v>86.33</v>
      </c>
      <c r="F107" s="43">
        <v>5500</v>
      </c>
      <c r="G107" s="34">
        <v>86.33</v>
      </c>
      <c r="H107" s="46">
        <v>4747.8900000000003</v>
      </c>
      <c r="I107" s="36">
        <v>6000</v>
      </c>
      <c r="J107" s="14"/>
      <c r="K107" t="s">
        <v>332</v>
      </c>
      <c r="L107" s="118">
        <v>8000</v>
      </c>
      <c r="M107" s="17">
        <f t="shared" si="337"/>
        <v>0.45454545454545459</v>
      </c>
      <c r="N107" s="17">
        <f t="shared" si="338"/>
        <v>0.33333333333333326</v>
      </c>
      <c r="Q107" s="118">
        <v>8000</v>
      </c>
      <c r="R107" s="15">
        <v>3008</v>
      </c>
      <c r="S107" s="118">
        <v>7000</v>
      </c>
      <c r="T107" s="15">
        <f t="shared" si="352"/>
        <v>-1000</v>
      </c>
      <c r="U107" s="16">
        <f t="shared" si="353"/>
        <v>-0.125</v>
      </c>
      <c r="Y107" s="118">
        <v>7000</v>
      </c>
      <c r="AA107" s="118">
        <v>7000</v>
      </c>
      <c r="AB107" s="185">
        <f t="shared" si="354"/>
        <v>0</v>
      </c>
      <c r="AC107" s="187">
        <f t="shared" si="355"/>
        <v>0</v>
      </c>
      <c r="AD107" s="187"/>
      <c r="AE107" s="118">
        <v>7000</v>
      </c>
      <c r="AF107" s="182"/>
      <c r="AH107" s="15">
        <v>5929.1</v>
      </c>
      <c r="AI107" s="17">
        <f t="shared" si="382"/>
        <v>0.84701428571428572</v>
      </c>
      <c r="AK107" s="118">
        <v>6100</v>
      </c>
      <c r="AS107" s="15">
        <f t="shared" si="356"/>
        <v>6100</v>
      </c>
      <c r="AV107" s="15">
        <f t="shared" si="357"/>
        <v>6100</v>
      </c>
      <c r="AX107" s="15"/>
      <c r="AY107" s="15">
        <f t="shared" si="358"/>
        <v>6100</v>
      </c>
      <c r="BB107" s="15">
        <f t="shared" si="359"/>
        <v>6100</v>
      </c>
      <c r="BD107" s="15">
        <v>2900</v>
      </c>
      <c r="BE107" s="15">
        <f t="shared" si="360"/>
        <v>9000</v>
      </c>
      <c r="BG107" s="15"/>
      <c r="BH107" s="15">
        <f t="shared" si="361"/>
        <v>9000</v>
      </c>
      <c r="BJ107" s="15">
        <v>5210</v>
      </c>
      <c r="BK107" s="235">
        <f t="shared" si="383"/>
        <v>0.5788888888888889</v>
      </c>
      <c r="BM107" s="196">
        <f>850*12</f>
        <v>10200</v>
      </c>
      <c r="BN107" s="235">
        <f t="shared" si="384"/>
        <v>1.9577735124760076</v>
      </c>
      <c r="BO107" s="235">
        <f t="shared" si="385"/>
        <v>1.1333333333333333</v>
      </c>
      <c r="BQ107" s="15"/>
      <c r="BR107" s="15">
        <f t="shared" si="386"/>
        <v>10200</v>
      </c>
      <c r="BT107" s="15"/>
      <c r="BU107" s="15">
        <f>BR107+BT107</f>
        <v>10200</v>
      </c>
      <c r="BW107" s="15"/>
      <c r="BX107" s="15">
        <f>BU107+BW107</f>
        <v>10200</v>
      </c>
      <c r="BZ107" s="15"/>
      <c r="CA107" s="15">
        <f>BX107+BZ107</f>
        <v>10200</v>
      </c>
      <c r="CC107" s="15"/>
      <c r="CD107" s="15">
        <f>CA107+CC107</f>
        <v>10200</v>
      </c>
      <c r="CF107" s="15"/>
      <c r="CG107" s="15">
        <f>CD107+CF107</f>
        <v>10200</v>
      </c>
      <c r="CI107" s="15"/>
      <c r="CJ107" s="15">
        <f>CG107+CI107</f>
        <v>10200</v>
      </c>
      <c r="CM107" s="15">
        <f>CJ107+CL107</f>
        <v>10200</v>
      </c>
      <c r="CO107" s="15">
        <v>3000</v>
      </c>
      <c r="CP107" s="15">
        <f>CM107+CO107</f>
        <v>13200</v>
      </c>
      <c r="CS107" s="15">
        <f>CP107+CR107</f>
        <v>13200</v>
      </c>
      <c r="CU107" s="227">
        <v>-2000</v>
      </c>
      <c r="CV107" s="15">
        <f>CS107+CU107</f>
        <v>11200</v>
      </c>
      <c r="CX107" s="227"/>
      <c r="CY107" s="15">
        <f>CV107+CX107</f>
        <v>11200</v>
      </c>
      <c r="DA107" s="15">
        <v>11097.8</v>
      </c>
      <c r="DC107" s="15">
        <v>11000</v>
      </c>
      <c r="DE107" s="15"/>
      <c r="DF107" s="15">
        <f t="shared" si="362"/>
        <v>11000</v>
      </c>
      <c r="DH107" s="15"/>
      <c r="DI107" s="15">
        <f t="shared" si="363"/>
        <v>11000</v>
      </c>
      <c r="DK107" s="15"/>
      <c r="DL107" s="15">
        <f t="shared" si="364"/>
        <v>11000</v>
      </c>
      <c r="DN107" s="15"/>
      <c r="DO107" s="15">
        <f t="shared" si="365"/>
        <v>11000</v>
      </c>
      <c r="DQ107" s="15"/>
      <c r="DR107" s="15">
        <f t="shared" si="366"/>
        <v>11000</v>
      </c>
      <c r="DT107" s="15"/>
      <c r="DU107" s="15">
        <f t="shared" si="367"/>
        <v>11000</v>
      </c>
      <c r="DW107" s="15"/>
      <c r="DX107" s="15">
        <f t="shared" si="368"/>
        <v>11000</v>
      </c>
      <c r="DZ107" s="15"/>
      <c r="EA107" s="15">
        <f t="shared" si="369"/>
        <v>11000</v>
      </c>
      <c r="EC107" s="15"/>
      <c r="ED107" s="15">
        <f t="shared" si="370"/>
        <v>11000</v>
      </c>
      <c r="EF107" s="227">
        <v>-3000</v>
      </c>
      <c r="EG107" s="15">
        <f t="shared" si="371"/>
        <v>8000</v>
      </c>
      <c r="EI107" s="15">
        <v>7606.1</v>
      </c>
      <c r="EK107" s="15">
        <v>9000</v>
      </c>
      <c r="EM107" s="15"/>
      <c r="EN107" s="15">
        <f t="shared" si="372"/>
        <v>9000</v>
      </c>
      <c r="EP107" s="15"/>
      <c r="EQ107" s="15">
        <f t="shared" si="373"/>
        <v>9000</v>
      </c>
      <c r="ES107" s="15"/>
      <c r="ET107" s="15">
        <f t="shared" si="374"/>
        <v>9000</v>
      </c>
      <c r="EW107" s="15">
        <f t="shared" si="375"/>
        <v>9000</v>
      </c>
      <c r="EZ107" s="15">
        <f t="shared" si="376"/>
        <v>9000</v>
      </c>
      <c r="FC107" s="15">
        <f t="shared" si="377"/>
        <v>9000</v>
      </c>
      <c r="FF107" s="15">
        <f t="shared" si="378"/>
        <v>9000</v>
      </c>
      <c r="FI107" s="15">
        <f t="shared" si="379"/>
        <v>9000</v>
      </c>
      <c r="FK107" s="227">
        <v>-3500</v>
      </c>
      <c r="FL107" s="15">
        <f t="shared" si="380"/>
        <v>5500</v>
      </c>
      <c r="FO107" s="15">
        <f t="shared" si="381"/>
        <v>5500</v>
      </c>
      <c r="FR107" s="15">
        <v>5500</v>
      </c>
      <c r="FT107" s="15">
        <v>5326.59</v>
      </c>
      <c r="FV107" s="15">
        <v>6000</v>
      </c>
      <c r="FW107" s="235">
        <f t="shared" si="351"/>
        <v>1.1264242226264833</v>
      </c>
    </row>
    <row r="108" spans="1:181" outlineLevel="1">
      <c r="A108" s="1" t="s">
        <v>167</v>
      </c>
      <c r="B108" s="1" t="s">
        <v>115</v>
      </c>
      <c r="C108" s="4" t="s">
        <v>116</v>
      </c>
      <c r="D108" s="43">
        <v>0</v>
      </c>
      <c r="E108" s="34">
        <v>0</v>
      </c>
      <c r="F108" s="43">
        <v>1000</v>
      </c>
      <c r="G108" s="34">
        <v>95</v>
      </c>
      <c r="H108" s="46">
        <v>950</v>
      </c>
      <c r="I108" s="36">
        <v>950</v>
      </c>
      <c r="J108" s="14"/>
      <c r="L108" s="118">
        <v>1000</v>
      </c>
      <c r="M108" s="17">
        <f t="shared" si="337"/>
        <v>0</v>
      </c>
      <c r="N108" s="17">
        <f t="shared" si="338"/>
        <v>5.2631578947368363E-2</v>
      </c>
      <c r="Q108" s="118">
        <v>1000</v>
      </c>
      <c r="R108" s="15">
        <v>0</v>
      </c>
      <c r="S108" s="118">
        <v>1000</v>
      </c>
      <c r="T108" s="15">
        <f t="shared" si="352"/>
        <v>0</v>
      </c>
      <c r="U108" s="16">
        <f t="shared" si="353"/>
        <v>0</v>
      </c>
      <c r="Y108" s="118">
        <v>1000</v>
      </c>
      <c r="AA108" s="118">
        <v>0</v>
      </c>
      <c r="AB108" s="185">
        <f t="shared" si="354"/>
        <v>-1000</v>
      </c>
      <c r="AC108" s="187">
        <f t="shared" si="355"/>
        <v>-1000</v>
      </c>
      <c r="AD108" s="187"/>
      <c r="AE108" s="118">
        <v>0</v>
      </c>
      <c r="AF108" s="182"/>
      <c r="AH108" s="15">
        <v>0</v>
      </c>
      <c r="AK108" s="118">
        <v>0</v>
      </c>
      <c r="AS108" s="15">
        <f t="shared" si="356"/>
        <v>0</v>
      </c>
      <c r="AV108" s="15">
        <f t="shared" si="357"/>
        <v>0</v>
      </c>
      <c r="AX108" s="15"/>
      <c r="AY108" s="15">
        <f t="shared" si="358"/>
        <v>0</v>
      </c>
      <c r="BB108" s="15">
        <f t="shared" si="359"/>
        <v>0</v>
      </c>
      <c r="BD108" s="15"/>
      <c r="BE108" s="15">
        <f t="shared" si="360"/>
        <v>0</v>
      </c>
      <c r="BG108" s="15"/>
      <c r="BH108" s="15">
        <f t="shared" si="361"/>
        <v>0</v>
      </c>
      <c r="BM108" s="15"/>
      <c r="BN108" s="235" t="e">
        <f t="shared" si="384"/>
        <v>#DIV/0!</v>
      </c>
      <c r="BO108" s="235" t="e">
        <f t="shared" si="385"/>
        <v>#DIV/0!</v>
      </c>
      <c r="BQ108" s="15"/>
      <c r="BR108" s="15"/>
      <c r="BT108" s="15"/>
      <c r="BU108" s="15"/>
      <c r="BW108" s="15"/>
      <c r="BX108" s="15"/>
      <c r="BZ108" s="15"/>
      <c r="CA108" s="15"/>
      <c r="CC108" s="15"/>
      <c r="CD108" s="15"/>
      <c r="CF108" s="15"/>
      <c r="CG108" s="15"/>
      <c r="CI108" s="15"/>
      <c r="CJ108" s="15"/>
      <c r="CM108" s="15"/>
      <c r="CP108" s="15"/>
      <c r="CS108" s="15"/>
      <c r="CV108" s="15"/>
      <c r="CY108" s="15"/>
      <c r="DE108" s="15"/>
      <c r="DF108" s="15">
        <f t="shared" si="362"/>
        <v>0</v>
      </c>
      <c r="DH108" s="15"/>
      <c r="DI108" s="15">
        <f t="shared" si="363"/>
        <v>0</v>
      </c>
      <c r="DK108" s="15"/>
      <c r="DL108" s="15">
        <f t="shared" si="364"/>
        <v>0</v>
      </c>
      <c r="DN108" s="15"/>
      <c r="DO108" s="15">
        <f t="shared" si="365"/>
        <v>0</v>
      </c>
      <c r="DQ108" s="15"/>
      <c r="DR108" s="15">
        <f t="shared" si="366"/>
        <v>0</v>
      </c>
      <c r="DT108" s="15"/>
      <c r="DU108" s="15">
        <f t="shared" si="367"/>
        <v>0</v>
      </c>
      <c r="DW108" s="15"/>
      <c r="DX108" s="15">
        <f t="shared" si="368"/>
        <v>0</v>
      </c>
      <c r="DZ108" s="15"/>
      <c r="EA108" s="15">
        <f t="shared" si="369"/>
        <v>0</v>
      </c>
      <c r="EC108" s="15"/>
      <c r="ED108" s="15">
        <f t="shared" si="370"/>
        <v>0</v>
      </c>
      <c r="EF108" s="15"/>
      <c r="EG108" s="15">
        <f t="shared" si="371"/>
        <v>0</v>
      </c>
      <c r="EK108" s="15"/>
      <c r="EM108" s="15"/>
      <c r="EN108" s="15">
        <f t="shared" si="372"/>
        <v>0</v>
      </c>
      <c r="EP108" s="15"/>
      <c r="EQ108" s="15">
        <f t="shared" si="373"/>
        <v>0</v>
      </c>
      <c r="ES108" s="15"/>
      <c r="ET108" s="15">
        <f t="shared" si="374"/>
        <v>0</v>
      </c>
      <c r="EW108" s="15">
        <f t="shared" si="375"/>
        <v>0</v>
      </c>
      <c r="EZ108" s="15">
        <f t="shared" si="376"/>
        <v>0</v>
      </c>
      <c r="FC108" s="15">
        <f t="shared" si="377"/>
        <v>0</v>
      </c>
      <c r="FF108" s="15">
        <f t="shared" si="378"/>
        <v>0</v>
      </c>
      <c r="FI108" s="15">
        <f t="shared" si="379"/>
        <v>0</v>
      </c>
      <c r="FL108" s="15">
        <f t="shared" si="380"/>
        <v>0</v>
      </c>
      <c r="FO108" s="15">
        <f t="shared" si="381"/>
        <v>0</v>
      </c>
      <c r="FR108" s="15">
        <v>0</v>
      </c>
      <c r="FT108" s="15">
        <v>0</v>
      </c>
      <c r="FV108" s="15">
        <v>0</v>
      </c>
      <c r="FW108" s="235" t="e">
        <f t="shared" si="351"/>
        <v>#DIV/0!</v>
      </c>
    </row>
    <row r="109" spans="1:181" outlineLevel="1">
      <c r="A109" s="1" t="s">
        <v>167</v>
      </c>
      <c r="B109" s="1" t="s">
        <v>117</v>
      </c>
      <c r="C109" s="4" t="s">
        <v>118</v>
      </c>
      <c r="D109" s="43">
        <v>0</v>
      </c>
      <c r="E109" s="34">
        <v>0</v>
      </c>
      <c r="F109" s="43">
        <v>2393</v>
      </c>
      <c r="G109" s="34">
        <v>100</v>
      </c>
      <c r="H109" s="46">
        <v>2393</v>
      </c>
      <c r="I109" s="36">
        <v>4000</v>
      </c>
      <c r="J109" s="14"/>
      <c r="L109" s="118">
        <v>5000</v>
      </c>
      <c r="M109" s="17">
        <f t="shared" si="337"/>
        <v>1.0894274968658588</v>
      </c>
      <c r="N109" s="17">
        <f t="shared" si="338"/>
        <v>0.25</v>
      </c>
      <c r="Q109" s="118">
        <v>5000</v>
      </c>
      <c r="R109" s="15">
        <v>484</v>
      </c>
      <c r="S109" s="118">
        <v>3000</v>
      </c>
      <c r="T109" s="15">
        <f t="shared" si="352"/>
        <v>-2000</v>
      </c>
      <c r="U109" s="16">
        <f t="shared" si="353"/>
        <v>-0.4</v>
      </c>
      <c r="Y109" s="118">
        <v>3000</v>
      </c>
      <c r="AA109" s="118">
        <v>3000</v>
      </c>
      <c r="AB109" s="185">
        <f t="shared" si="354"/>
        <v>0</v>
      </c>
      <c r="AC109" s="187">
        <f t="shared" si="355"/>
        <v>0</v>
      </c>
      <c r="AD109" s="187"/>
      <c r="AE109" s="118">
        <v>3000</v>
      </c>
      <c r="AF109" s="182"/>
      <c r="AH109" s="15">
        <v>2565</v>
      </c>
      <c r="AI109" s="17">
        <f t="shared" ref="AI109:AI112" si="387">AH109/AE109</f>
        <v>0.85499999999999998</v>
      </c>
      <c r="AK109" s="118">
        <v>4000</v>
      </c>
      <c r="AS109" s="15">
        <f t="shared" si="356"/>
        <v>4000</v>
      </c>
      <c r="AV109" s="15">
        <f t="shared" si="357"/>
        <v>4000</v>
      </c>
      <c r="AX109" s="15"/>
      <c r="AY109" s="15">
        <f t="shared" si="358"/>
        <v>4000</v>
      </c>
      <c r="BB109" s="15">
        <f t="shared" si="359"/>
        <v>4000</v>
      </c>
      <c r="BD109" s="15">
        <v>-2000</v>
      </c>
      <c r="BE109" s="15">
        <f t="shared" si="360"/>
        <v>2000</v>
      </c>
      <c r="BG109" s="15"/>
      <c r="BH109" s="15">
        <f t="shared" si="361"/>
        <v>2000</v>
      </c>
      <c r="BJ109" s="15">
        <v>950</v>
      </c>
      <c r="BK109" s="235">
        <f t="shared" ref="BK109" si="388">BJ109/BH109</f>
        <v>0.47499999999999998</v>
      </c>
      <c r="BM109" s="15">
        <v>1000</v>
      </c>
      <c r="BN109" s="235">
        <f t="shared" si="384"/>
        <v>1.0526315789473684</v>
      </c>
      <c r="BO109" s="235">
        <f t="shared" si="385"/>
        <v>0.5</v>
      </c>
      <c r="BQ109" s="15"/>
      <c r="BR109" s="15">
        <f t="shared" ref="BR109:BR112" si="389">BM109+BQ109</f>
        <v>1000</v>
      </c>
      <c r="BT109" s="15"/>
      <c r="BU109" s="15">
        <f>BR109+BT109</f>
        <v>1000</v>
      </c>
      <c r="BW109" s="15"/>
      <c r="BX109" s="15">
        <f>BU109+BW109</f>
        <v>1000</v>
      </c>
      <c r="BZ109" s="15"/>
      <c r="CA109" s="15">
        <f>BX109+BZ109</f>
        <v>1000</v>
      </c>
      <c r="CC109" s="15"/>
      <c r="CD109" s="15">
        <f>CA109+CC109</f>
        <v>1000</v>
      </c>
      <c r="CF109" s="15"/>
      <c r="CG109" s="15">
        <f>CD109+CF109</f>
        <v>1000</v>
      </c>
      <c r="CI109" s="15"/>
      <c r="CJ109" s="15">
        <f>CG109+CI109</f>
        <v>1000</v>
      </c>
      <c r="CM109" s="15">
        <f>CJ109+CL109</f>
        <v>1000</v>
      </c>
      <c r="CP109" s="15">
        <f>CM109+CO109</f>
        <v>1000</v>
      </c>
      <c r="CS109" s="15">
        <f>CP109+CR109</f>
        <v>1000</v>
      </c>
      <c r="CU109" s="227">
        <v>-1000</v>
      </c>
      <c r="CV109" s="15">
        <f>CS109+CU109</f>
        <v>0</v>
      </c>
      <c r="CX109" s="227"/>
      <c r="CY109" s="15">
        <f>CV109+CX109</f>
        <v>0</v>
      </c>
      <c r="DC109" s="15">
        <v>2000</v>
      </c>
      <c r="DE109" s="15"/>
      <c r="DF109" s="15">
        <f t="shared" si="362"/>
        <v>2000</v>
      </c>
      <c r="DH109" s="15"/>
      <c r="DI109" s="15">
        <f t="shared" si="363"/>
        <v>2000</v>
      </c>
      <c r="DK109" s="15"/>
      <c r="DL109" s="15">
        <f t="shared" si="364"/>
        <v>2000</v>
      </c>
      <c r="DN109" s="15"/>
      <c r="DO109" s="15">
        <f t="shared" si="365"/>
        <v>2000</v>
      </c>
      <c r="DQ109" s="15"/>
      <c r="DR109" s="15">
        <f t="shared" si="366"/>
        <v>2000</v>
      </c>
      <c r="DT109" s="15"/>
      <c r="DU109" s="15">
        <f t="shared" si="367"/>
        <v>2000</v>
      </c>
      <c r="DW109" s="15"/>
      <c r="DX109" s="15">
        <f t="shared" si="368"/>
        <v>2000</v>
      </c>
      <c r="DZ109" s="15"/>
      <c r="EA109" s="15">
        <f t="shared" si="369"/>
        <v>2000</v>
      </c>
      <c r="EC109" s="227">
        <v>-2000</v>
      </c>
      <c r="ED109" s="15">
        <f t="shared" si="370"/>
        <v>0</v>
      </c>
      <c r="EF109" s="15"/>
      <c r="EG109" s="15">
        <f t="shared" si="371"/>
        <v>0</v>
      </c>
      <c r="EK109" s="15"/>
      <c r="EM109" s="15"/>
      <c r="EN109" s="15">
        <f t="shared" si="372"/>
        <v>0</v>
      </c>
      <c r="EP109" s="15"/>
      <c r="EQ109" s="15">
        <f t="shared" si="373"/>
        <v>0</v>
      </c>
      <c r="ES109" s="15"/>
      <c r="ET109" s="15">
        <f t="shared" si="374"/>
        <v>0</v>
      </c>
      <c r="EW109" s="15">
        <f t="shared" si="375"/>
        <v>0</v>
      </c>
      <c r="EZ109" s="15">
        <f t="shared" si="376"/>
        <v>0</v>
      </c>
      <c r="FB109" s="227">
        <v>25000</v>
      </c>
      <c r="FC109" s="15">
        <f t="shared" si="377"/>
        <v>25000</v>
      </c>
      <c r="FF109" s="15">
        <f t="shared" si="378"/>
        <v>25000</v>
      </c>
      <c r="FI109" s="15">
        <f t="shared" si="379"/>
        <v>25000</v>
      </c>
      <c r="FK109" s="227">
        <v>-10000</v>
      </c>
      <c r="FL109" s="15">
        <f t="shared" si="380"/>
        <v>15000</v>
      </c>
      <c r="FO109" s="15">
        <f t="shared" si="381"/>
        <v>15000</v>
      </c>
      <c r="FR109" s="15">
        <v>15000</v>
      </c>
      <c r="FT109" s="15">
        <v>8373.2000000000007</v>
      </c>
      <c r="FV109" s="15">
        <v>5000</v>
      </c>
      <c r="FW109" s="235">
        <f t="shared" si="351"/>
        <v>0.59714326661252559</v>
      </c>
    </row>
    <row r="110" spans="1:181" outlineLevel="1">
      <c r="A110" s="1" t="s">
        <v>167</v>
      </c>
      <c r="B110" s="1" t="s">
        <v>148</v>
      </c>
      <c r="C110" s="4" t="s">
        <v>149</v>
      </c>
      <c r="D110" s="43">
        <v>0</v>
      </c>
      <c r="E110" s="34">
        <v>0</v>
      </c>
      <c r="F110" s="43">
        <v>504</v>
      </c>
      <c r="G110" s="34">
        <v>100</v>
      </c>
      <c r="H110" s="46">
        <v>504</v>
      </c>
      <c r="I110" s="36">
        <v>504</v>
      </c>
      <c r="J110" s="14"/>
      <c r="L110" s="118">
        <v>500</v>
      </c>
      <c r="M110" s="17">
        <f t="shared" si="337"/>
        <v>-7.9365079365079083E-3</v>
      </c>
      <c r="N110" s="17">
        <f t="shared" si="338"/>
        <v>-7.9365079365079083E-3</v>
      </c>
      <c r="Q110" s="118">
        <v>500</v>
      </c>
      <c r="R110" s="15">
        <v>0</v>
      </c>
      <c r="S110" s="118">
        <v>0</v>
      </c>
      <c r="T110" s="15">
        <f t="shared" si="352"/>
        <v>-500</v>
      </c>
      <c r="U110" s="16">
        <f t="shared" si="353"/>
        <v>-1</v>
      </c>
      <c r="Y110" s="118">
        <v>600</v>
      </c>
      <c r="AA110" s="118">
        <v>600</v>
      </c>
      <c r="AB110" s="185">
        <f t="shared" si="354"/>
        <v>0</v>
      </c>
      <c r="AC110" s="187">
        <f t="shared" si="355"/>
        <v>0</v>
      </c>
      <c r="AD110" s="187"/>
      <c r="AE110" s="118">
        <v>600</v>
      </c>
      <c r="AF110" s="182"/>
      <c r="AH110" s="15">
        <v>528</v>
      </c>
      <c r="AI110" s="17">
        <f t="shared" si="387"/>
        <v>0.88</v>
      </c>
      <c r="AK110" s="118">
        <v>500</v>
      </c>
      <c r="AS110" s="15">
        <f t="shared" si="356"/>
        <v>500</v>
      </c>
      <c r="AV110" s="15">
        <f t="shared" si="357"/>
        <v>500</v>
      </c>
      <c r="AX110" s="15"/>
      <c r="AY110" s="15">
        <f t="shared" si="358"/>
        <v>500</v>
      </c>
      <c r="BB110" s="15">
        <f t="shared" si="359"/>
        <v>500</v>
      </c>
      <c r="BD110" s="15"/>
      <c r="BE110" s="15">
        <f t="shared" si="360"/>
        <v>500</v>
      </c>
      <c r="BG110" s="15">
        <v>-500</v>
      </c>
      <c r="BH110" s="15">
        <f t="shared" si="361"/>
        <v>0</v>
      </c>
      <c r="BJ110" s="15">
        <v>0</v>
      </c>
      <c r="BM110" s="15">
        <v>0</v>
      </c>
      <c r="BN110" s="235" t="e">
        <f t="shared" si="384"/>
        <v>#DIV/0!</v>
      </c>
      <c r="BO110" s="235" t="e">
        <f t="shared" si="385"/>
        <v>#DIV/0!</v>
      </c>
      <c r="BQ110" s="15"/>
      <c r="BR110" s="15">
        <f t="shared" si="389"/>
        <v>0</v>
      </c>
      <c r="BT110" s="15"/>
      <c r="BU110" s="15">
        <f>BR110+BT110</f>
        <v>0</v>
      </c>
      <c r="BW110" s="15"/>
      <c r="BX110" s="15">
        <f>BU110+BW110</f>
        <v>0</v>
      </c>
      <c r="BZ110" s="15"/>
      <c r="CA110" s="15">
        <f>BX110+BZ110</f>
        <v>0</v>
      </c>
      <c r="CC110" s="15"/>
      <c r="CD110" s="15">
        <f>CA110+CC110</f>
        <v>0</v>
      </c>
      <c r="CF110" s="15"/>
      <c r="CG110" s="15">
        <f>CD110+CF110</f>
        <v>0</v>
      </c>
      <c r="CI110" s="15"/>
      <c r="CJ110" s="15">
        <f>CG110+CI110</f>
        <v>0</v>
      </c>
      <c r="CM110" s="15">
        <f>CJ110+CL110</f>
        <v>0</v>
      </c>
      <c r="CP110" s="15">
        <f>CM110+CO110</f>
        <v>0</v>
      </c>
      <c r="CS110" s="15">
        <f>CP110+CR110</f>
        <v>0</v>
      </c>
      <c r="CV110" s="15">
        <f>CS110+CU110</f>
        <v>0</v>
      </c>
      <c r="CY110" s="15">
        <f>CV110+CX110</f>
        <v>0</v>
      </c>
      <c r="DC110" s="15">
        <v>0</v>
      </c>
      <c r="DE110" s="15"/>
      <c r="DF110" s="15">
        <f t="shared" si="362"/>
        <v>0</v>
      </c>
      <c r="DH110" s="15"/>
      <c r="DI110" s="15">
        <f t="shared" si="363"/>
        <v>0</v>
      </c>
      <c r="DK110" s="15"/>
      <c r="DL110" s="15">
        <f t="shared" si="364"/>
        <v>0</v>
      </c>
      <c r="DN110" s="15"/>
      <c r="DO110" s="15">
        <f t="shared" si="365"/>
        <v>0</v>
      </c>
      <c r="DQ110" s="15"/>
      <c r="DR110" s="15">
        <f t="shared" si="366"/>
        <v>0</v>
      </c>
      <c r="DT110" s="15"/>
      <c r="DU110" s="15">
        <f t="shared" si="367"/>
        <v>0</v>
      </c>
      <c r="DW110" s="15"/>
      <c r="DX110" s="15">
        <f t="shared" si="368"/>
        <v>0</v>
      </c>
      <c r="DZ110" s="15"/>
      <c r="EA110" s="15">
        <f t="shared" si="369"/>
        <v>0</v>
      </c>
      <c r="EC110" s="15"/>
      <c r="ED110" s="15">
        <f t="shared" si="370"/>
        <v>0</v>
      </c>
      <c r="EF110" s="15"/>
      <c r="EG110" s="15">
        <f t="shared" si="371"/>
        <v>0</v>
      </c>
      <c r="EK110" s="15"/>
      <c r="EM110" s="15"/>
      <c r="EN110" s="15">
        <f t="shared" si="372"/>
        <v>0</v>
      </c>
      <c r="EP110" s="15"/>
      <c r="EQ110" s="15">
        <f t="shared" si="373"/>
        <v>0</v>
      </c>
      <c r="ES110" s="15"/>
      <c r="ET110" s="15">
        <f t="shared" si="374"/>
        <v>0</v>
      </c>
      <c r="EW110" s="15">
        <f t="shared" si="375"/>
        <v>0</v>
      </c>
      <c r="EZ110" s="15">
        <f t="shared" si="376"/>
        <v>0</v>
      </c>
      <c r="FC110" s="15">
        <f t="shared" si="377"/>
        <v>0</v>
      </c>
      <c r="FF110" s="15">
        <f t="shared" si="378"/>
        <v>0</v>
      </c>
      <c r="FI110" s="15">
        <f t="shared" si="379"/>
        <v>0</v>
      </c>
      <c r="FL110" s="15">
        <f t="shared" si="380"/>
        <v>0</v>
      </c>
      <c r="FO110" s="15">
        <f t="shared" si="381"/>
        <v>0</v>
      </c>
      <c r="FR110" s="15">
        <v>0</v>
      </c>
      <c r="FW110" s="235" t="e">
        <f t="shared" si="351"/>
        <v>#DIV/0!</v>
      </c>
    </row>
    <row r="111" spans="1:181" outlineLevel="1">
      <c r="A111" s="1" t="s">
        <v>167</v>
      </c>
      <c r="B111" s="1" t="s">
        <v>150</v>
      </c>
      <c r="C111" s="4" t="s">
        <v>151</v>
      </c>
      <c r="D111" s="43">
        <v>1000</v>
      </c>
      <c r="E111" s="34">
        <v>0</v>
      </c>
      <c r="F111" s="43">
        <v>1000</v>
      </c>
      <c r="G111" s="34">
        <v>0</v>
      </c>
      <c r="H111" s="46">
        <v>0</v>
      </c>
      <c r="I111" s="36">
        <v>0</v>
      </c>
      <c r="J111" s="14"/>
      <c r="L111" s="118">
        <v>1000</v>
      </c>
      <c r="M111" s="17">
        <f t="shared" si="337"/>
        <v>0</v>
      </c>
      <c r="N111" s="17" t="e">
        <f t="shared" si="338"/>
        <v>#DIV/0!</v>
      </c>
      <c r="Q111" s="118">
        <v>1000</v>
      </c>
      <c r="R111" s="15">
        <v>0</v>
      </c>
      <c r="S111" s="118">
        <v>1000</v>
      </c>
      <c r="T111" s="15">
        <f t="shared" si="352"/>
        <v>0</v>
      </c>
      <c r="U111" s="16">
        <f t="shared" si="353"/>
        <v>0</v>
      </c>
      <c r="Y111" s="118">
        <v>400</v>
      </c>
      <c r="AA111" s="118">
        <v>400</v>
      </c>
      <c r="AB111" s="185">
        <f t="shared" si="354"/>
        <v>0</v>
      </c>
      <c r="AC111" s="187">
        <f t="shared" si="355"/>
        <v>0</v>
      </c>
      <c r="AD111" s="187"/>
      <c r="AE111" s="118">
        <v>400</v>
      </c>
      <c r="AF111" s="182"/>
      <c r="AH111" s="15">
        <v>0</v>
      </c>
      <c r="AI111" s="17">
        <f t="shared" si="387"/>
        <v>0</v>
      </c>
      <c r="AK111" s="118">
        <v>0</v>
      </c>
      <c r="AS111" s="15">
        <f t="shared" si="356"/>
        <v>0</v>
      </c>
      <c r="AV111" s="15">
        <f t="shared" si="357"/>
        <v>0</v>
      </c>
      <c r="AX111" s="15"/>
      <c r="AY111" s="15">
        <f t="shared" si="358"/>
        <v>0</v>
      </c>
      <c r="BB111" s="15">
        <f t="shared" si="359"/>
        <v>0</v>
      </c>
      <c r="BD111" s="15"/>
      <c r="BE111" s="15">
        <f t="shared" si="360"/>
        <v>0</v>
      </c>
      <c r="BG111" s="15"/>
      <c r="BH111" s="15">
        <f t="shared" si="361"/>
        <v>0</v>
      </c>
      <c r="BJ111" s="15">
        <v>0</v>
      </c>
      <c r="BM111" s="15">
        <v>0</v>
      </c>
      <c r="BN111" s="235" t="e">
        <f t="shared" si="384"/>
        <v>#DIV/0!</v>
      </c>
      <c r="BO111" s="235" t="e">
        <f t="shared" si="385"/>
        <v>#DIV/0!</v>
      </c>
      <c r="BQ111" s="15"/>
      <c r="BR111" s="15">
        <f t="shared" si="389"/>
        <v>0</v>
      </c>
      <c r="BT111" s="15"/>
      <c r="BU111" s="15">
        <f>BR111+BT111</f>
        <v>0</v>
      </c>
      <c r="BW111" s="15"/>
      <c r="BX111" s="15">
        <f>BU111+BW111</f>
        <v>0</v>
      </c>
      <c r="BZ111" s="15"/>
      <c r="CA111" s="15">
        <f>BX111+BZ111</f>
        <v>0</v>
      </c>
      <c r="CC111" s="15"/>
      <c r="CD111" s="15">
        <f>CA111+CC111</f>
        <v>0</v>
      </c>
      <c r="CF111" s="15"/>
      <c r="CG111" s="15">
        <f>CD111+CF111</f>
        <v>0</v>
      </c>
      <c r="CI111" s="15"/>
      <c r="CJ111" s="15">
        <f>CG111+CI111</f>
        <v>0</v>
      </c>
      <c r="CM111" s="15">
        <f>CJ111+CL111</f>
        <v>0</v>
      </c>
      <c r="CP111" s="15">
        <f>CM111+CO111</f>
        <v>0</v>
      </c>
      <c r="CS111" s="15">
        <f>CP111+CR111</f>
        <v>0</v>
      </c>
      <c r="CV111" s="15">
        <f>CS111+CU111</f>
        <v>0</v>
      </c>
      <c r="CY111" s="15">
        <f>CV111+CX111</f>
        <v>0</v>
      </c>
      <c r="DC111" s="15">
        <v>0</v>
      </c>
      <c r="DE111" s="15"/>
      <c r="DF111" s="15">
        <f t="shared" si="362"/>
        <v>0</v>
      </c>
      <c r="DH111" s="15"/>
      <c r="DI111" s="15">
        <f t="shared" si="363"/>
        <v>0</v>
      </c>
      <c r="DK111" s="15"/>
      <c r="DL111" s="15">
        <f t="shared" si="364"/>
        <v>0</v>
      </c>
      <c r="DN111" s="15"/>
      <c r="DO111" s="15">
        <f t="shared" si="365"/>
        <v>0</v>
      </c>
      <c r="DQ111" s="15"/>
      <c r="DR111" s="15">
        <f t="shared" si="366"/>
        <v>0</v>
      </c>
      <c r="DT111" s="15"/>
      <c r="DU111" s="15">
        <f t="shared" si="367"/>
        <v>0</v>
      </c>
      <c r="DW111" s="15"/>
      <c r="DX111" s="15">
        <f t="shared" si="368"/>
        <v>0</v>
      </c>
      <c r="DZ111" s="15"/>
      <c r="EA111" s="15">
        <f t="shared" si="369"/>
        <v>0</v>
      </c>
      <c r="EC111" s="227">
        <v>1000</v>
      </c>
      <c r="ED111" s="15">
        <f t="shared" si="370"/>
        <v>1000</v>
      </c>
      <c r="EF111" s="227">
        <v>-1000</v>
      </c>
      <c r="EG111" s="15">
        <f t="shared" si="371"/>
        <v>0</v>
      </c>
      <c r="EK111" s="15"/>
      <c r="EM111" s="15"/>
      <c r="EN111" s="15">
        <f t="shared" si="372"/>
        <v>0</v>
      </c>
      <c r="EP111" s="15"/>
      <c r="EQ111" s="15">
        <f t="shared" si="373"/>
        <v>0</v>
      </c>
      <c r="ES111" s="15"/>
      <c r="ET111" s="15">
        <f t="shared" si="374"/>
        <v>0</v>
      </c>
      <c r="EW111" s="15">
        <f t="shared" si="375"/>
        <v>0</v>
      </c>
      <c r="EZ111" s="15">
        <f t="shared" si="376"/>
        <v>0</v>
      </c>
      <c r="FC111" s="15">
        <f t="shared" si="377"/>
        <v>0</v>
      </c>
      <c r="FF111" s="15">
        <f t="shared" si="378"/>
        <v>0</v>
      </c>
      <c r="FI111" s="15">
        <f t="shared" si="379"/>
        <v>0</v>
      </c>
      <c r="FL111" s="15">
        <f t="shared" si="380"/>
        <v>0</v>
      </c>
      <c r="FO111" s="15">
        <f t="shared" si="381"/>
        <v>0</v>
      </c>
      <c r="FR111" s="15">
        <v>0</v>
      </c>
      <c r="FW111" s="235" t="e">
        <f t="shared" si="351"/>
        <v>#DIV/0!</v>
      </c>
    </row>
    <row r="112" spans="1:181" outlineLevel="1">
      <c r="A112" s="1" t="s">
        <v>167</v>
      </c>
      <c r="B112" s="1" t="s">
        <v>107</v>
      </c>
      <c r="C112" s="4" t="s">
        <v>108</v>
      </c>
      <c r="D112" s="43">
        <v>10000</v>
      </c>
      <c r="E112" s="34">
        <v>200</v>
      </c>
      <c r="F112" s="43">
        <v>20000</v>
      </c>
      <c r="G112" s="34">
        <v>100</v>
      </c>
      <c r="H112" s="46">
        <v>20000</v>
      </c>
      <c r="I112" s="36">
        <v>20000</v>
      </c>
      <c r="J112" s="14"/>
      <c r="K112" t="s">
        <v>332</v>
      </c>
      <c r="L112" s="118">
        <v>10000</v>
      </c>
      <c r="M112" s="17">
        <f t="shared" si="337"/>
        <v>-0.5</v>
      </c>
      <c r="N112" s="17">
        <f t="shared" si="338"/>
        <v>-0.5</v>
      </c>
      <c r="Q112" s="118">
        <v>10000</v>
      </c>
      <c r="S112" s="118">
        <v>10000</v>
      </c>
      <c r="T112" s="15">
        <f t="shared" si="352"/>
        <v>0</v>
      </c>
      <c r="U112" s="15">
        <f t="shared" si="353"/>
        <v>0</v>
      </c>
      <c r="Y112" s="118">
        <v>10000</v>
      </c>
      <c r="AA112" s="118">
        <v>10000</v>
      </c>
      <c r="AB112" s="185">
        <f t="shared" si="354"/>
        <v>0</v>
      </c>
      <c r="AC112" s="187">
        <f t="shared" si="355"/>
        <v>0</v>
      </c>
      <c r="AD112" s="187"/>
      <c r="AE112" s="118">
        <v>10000</v>
      </c>
      <c r="AF112" s="182"/>
      <c r="AH112" s="15">
        <v>10000</v>
      </c>
      <c r="AI112" s="17">
        <f t="shared" si="387"/>
        <v>1</v>
      </c>
      <c r="AK112" s="118">
        <v>10000</v>
      </c>
      <c r="AS112" s="15">
        <f t="shared" si="356"/>
        <v>10000</v>
      </c>
      <c r="AV112" s="15">
        <f t="shared" si="357"/>
        <v>10000</v>
      </c>
      <c r="AX112" s="15"/>
      <c r="AY112" s="15">
        <f t="shared" si="358"/>
        <v>10000</v>
      </c>
      <c r="BB112" s="15">
        <f t="shared" si="359"/>
        <v>10000</v>
      </c>
      <c r="BD112" s="15"/>
      <c r="BE112" s="15">
        <f t="shared" si="360"/>
        <v>10000</v>
      </c>
      <c r="BG112" s="15"/>
      <c r="BH112" s="15">
        <f t="shared" si="361"/>
        <v>10000</v>
      </c>
      <c r="BJ112" s="15">
        <v>10000</v>
      </c>
      <c r="BK112" s="235">
        <f t="shared" ref="BK112" si="390">BJ112/BH112</f>
        <v>1</v>
      </c>
      <c r="BM112" s="15">
        <v>10000</v>
      </c>
      <c r="BN112" s="235">
        <f t="shared" si="384"/>
        <v>1</v>
      </c>
      <c r="BO112" s="235">
        <f t="shared" si="385"/>
        <v>1</v>
      </c>
      <c r="BQ112" s="15"/>
      <c r="BR112" s="15">
        <f t="shared" si="389"/>
        <v>10000</v>
      </c>
      <c r="BT112" s="15"/>
      <c r="BU112" s="15">
        <f>BR112+BT112</f>
        <v>10000</v>
      </c>
      <c r="BW112" s="15"/>
      <c r="BX112" s="15">
        <f>BU112+BW112</f>
        <v>10000</v>
      </c>
      <c r="BZ112" s="15"/>
      <c r="CA112" s="15">
        <f>BX112+BZ112</f>
        <v>10000</v>
      </c>
      <c r="CC112" s="15"/>
      <c r="CD112" s="15">
        <f>CA112+CC112</f>
        <v>10000</v>
      </c>
      <c r="CF112" s="15"/>
      <c r="CG112" s="15">
        <f>CD112+CF112</f>
        <v>10000</v>
      </c>
      <c r="CI112" s="15"/>
      <c r="CJ112" s="15">
        <f>CG112+CI112</f>
        <v>10000</v>
      </c>
      <c r="CM112" s="15">
        <f>CJ112+CL112</f>
        <v>10000</v>
      </c>
      <c r="CP112" s="15">
        <f>CM112+CO112</f>
        <v>10000</v>
      </c>
      <c r="CS112" s="15">
        <f>CP112+CR112</f>
        <v>10000</v>
      </c>
      <c r="CV112" s="15">
        <f>CS112+CU112</f>
        <v>10000</v>
      </c>
      <c r="CY112" s="15">
        <f>CV112+CX112</f>
        <v>10000</v>
      </c>
      <c r="DA112" s="15">
        <v>10000</v>
      </c>
      <c r="DC112" s="15">
        <v>10000</v>
      </c>
      <c r="DE112" s="15"/>
      <c r="DF112" s="15">
        <f t="shared" si="362"/>
        <v>10000</v>
      </c>
      <c r="DH112" s="15"/>
      <c r="DI112" s="15">
        <f t="shared" si="363"/>
        <v>10000</v>
      </c>
      <c r="DK112" s="15"/>
      <c r="DL112" s="15">
        <f t="shared" si="364"/>
        <v>10000</v>
      </c>
      <c r="DN112" s="15"/>
      <c r="DO112" s="15">
        <f t="shared" si="365"/>
        <v>10000</v>
      </c>
      <c r="DQ112" s="15"/>
      <c r="DR112" s="15">
        <f t="shared" si="366"/>
        <v>10000</v>
      </c>
      <c r="DT112" s="15"/>
      <c r="DU112" s="15">
        <f t="shared" si="367"/>
        <v>10000</v>
      </c>
      <c r="DW112" s="15"/>
      <c r="DX112" s="15">
        <f t="shared" si="368"/>
        <v>10000</v>
      </c>
      <c r="DZ112" s="15"/>
      <c r="EA112" s="15">
        <f t="shared" si="369"/>
        <v>10000</v>
      </c>
      <c r="EC112" s="15"/>
      <c r="ED112" s="15">
        <f t="shared" si="370"/>
        <v>10000</v>
      </c>
      <c r="EF112" s="15"/>
      <c r="EG112" s="15">
        <f t="shared" si="371"/>
        <v>10000</v>
      </c>
      <c r="EI112" s="15">
        <v>10000</v>
      </c>
      <c r="EK112" s="15">
        <v>10000</v>
      </c>
      <c r="EM112" s="15"/>
      <c r="EN112" s="15">
        <f t="shared" si="372"/>
        <v>10000</v>
      </c>
      <c r="EP112" s="15"/>
      <c r="EQ112" s="15">
        <f t="shared" si="373"/>
        <v>10000</v>
      </c>
      <c r="ES112" s="15"/>
      <c r="ET112" s="15">
        <f t="shared" si="374"/>
        <v>10000</v>
      </c>
      <c r="EW112" s="15">
        <f t="shared" si="375"/>
        <v>10000</v>
      </c>
      <c r="EZ112" s="15">
        <f t="shared" si="376"/>
        <v>10000</v>
      </c>
      <c r="FC112" s="15">
        <f t="shared" si="377"/>
        <v>10000</v>
      </c>
      <c r="FF112" s="15">
        <f t="shared" si="378"/>
        <v>10000</v>
      </c>
      <c r="FI112" s="15">
        <f t="shared" si="379"/>
        <v>10000</v>
      </c>
      <c r="FL112" s="15">
        <f t="shared" si="380"/>
        <v>10000</v>
      </c>
      <c r="FO112" s="15">
        <f t="shared" si="381"/>
        <v>10000</v>
      </c>
      <c r="FR112" s="15">
        <v>10000</v>
      </c>
      <c r="FT112" s="15">
        <v>10000</v>
      </c>
      <c r="FV112" s="15">
        <v>10000</v>
      </c>
      <c r="FW112" s="235">
        <f t="shared" si="351"/>
        <v>1</v>
      </c>
    </row>
    <row r="113" spans="1:179" outlineLevel="1">
      <c r="A113" s="1" t="s">
        <v>167</v>
      </c>
      <c r="B113" s="4" t="s">
        <v>46</v>
      </c>
      <c r="C113" s="4" t="s">
        <v>168</v>
      </c>
      <c r="D113" s="43">
        <v>87600</v>
      </c>
      <c r="E113" s="34">
        <v>46.9</v>
      </c>
      <c r="F113" s="43">
        <v>101497</v>
      </c>
      <c r="G113" s="34">
        <v>40.479999999999997</v>
      </c>
      <c r="H113" s="46">
        <v>41084.89</v>
      </c>
      <c r="Y113" s="118"/>
      <c r="AF113" s="182"/>
      <c r="AH113" s="15"/>
      <c r="AX113" s="15"/>
      <c r="BD113" s="15"/>
      <c r="BG113" s="15"/>
      <c r="DE113" s="15"/>
      <c r="DH113" s="15"/>
      <c r="DK113" s="15"/>
      <c r="DN113" s="15"/>
      <c r="DQ113" s="15"/>
      <c r="DT113" s="15"/>
      <c r="DW113" s="15"/>
      <c r="DZ113" s="15"/>
      <c r="EC113" s="15"/>
      <c r="EF113" s="15"/>
      <c r="EK113" s="15"/>
      <c r="EM113" s="15"/>
      <c r="EP113" s="15"/>
      <c r="ES113" s="15"/>
    </row>
    <row r="114" spans="1:179" outlineLevel="1">
      <c r="A114" s="1" t="s">
        <v>169</v>
      </c>
      <c r="B114" s="4" t="s">
        <v>48</v>
      </c>
      <c r="C114" s="4" t="s">
        <v>170</v>
      </c>
      <c r="D114" s="43">
        <v>102000</v>
      </c>
      <c r="E114" s="34">
        <v>68.040000000000006</v>
      </c>
      <c r="F114" s="43">
        <v>153729</v>
      </c>
      <c r="G114" s="34">
        <v>45.14</v>
      </c>
      <c r="H114" s="46">
        <v>69396.89</v>
      </c>
      <c r="I114" s="36"/>
      <c r="J114" s="14"/>
      <c r="Y114" s="118"/>
      <c r="AF114" s="182"/>
      <c r="AH114" s="15"/>
      <c r="AX114" s="15"/>
      <c r="BD114" s="15"/>
      <c r="BG114" s="15"/>
      <c r="DE114" s="15"/>
      <c r="DH114" s="15"/>
      <c r="DK114" s="15"/>
      <c r="DN114" s="15"/>
      <c r="DQ114" s="15"/>
      <c r="DT114" s="15"/>
      <c r="DW114" s="15"/>
      <c r="DZ114" s="15"/>
      <c r="EC114" s="15"/>
      <c r="EF114" s="15"/>
      <c r="EK114" s="15"/>
      <c r="EM114" s="15"/>
      <c r="EP114" s="15"/>
      <c r="ES114" s="15"/>
    </row>
    <row r="115" spans="1:179" ht="14.25" customHeight="1" thickBot="1">
      <c r="A115" s="54" t="s">
        <v>167</v>
      </c>
      <c r="B115" s="55" t="s">
        <v>316</v>
      </c>
      <c r="C115" s="283" t="s">
        <v>653</v>
      </c>
      <c r="D115" s="57">
        <f>SUM(D104:D112)</f>
        <v>87600</v>
      </c>
      <c r="E115" s="58"/>
      <c r="F115" s="57">
        <f>SUM(F104:F112)</f>
        <v>101497</v>
      </c>
      <c r="G115" s="58"/>
      <c r="H115" s="57"/>
      <c r="I115" s="57">
        <f>SUM(I104:I112)</f>
        <v>72454</v>
      </c>
      <c r="J115" s="138" t="e">
        <f>I115/$I$332</f>
        <v>#REF!</v>
      </c>
      <c r="K115" s="60"/>
      <c r="L115" s="122">
        <f>SUM(L104:L112)</f>
        <v>77800</v>
      </c>
      <c r="M115" s="61">
        <f>L115/F115-1</f>
        <v>-0.23347488103096647</v>
      </c>
      <c r="N115" s="61">
        <f>L115/I115-1</f>
        <v>7.3784746183785499E-2</v>
      </c>
      <c r="O115" s="17">
        <f>L115/$L$332</f>
        <v>1.805104441858087E-2</v>
      </c>
      <c r="P115" s="17"/>
      <c r="Q115" s="122">
        <f>SUM(Q104:Q112)</f>
        <v>77800</v>
      </c>
      <c r="R115" s="122">
        <f>SUM(R104:R112)</f>
        <v>10448</v>
      </c>
      <c r="S115" s="122">
        <f>SUM(S104:S112)</f>
        <v>54500</v>
      </c>
      <c r="T115" s="122">
        <f>SUM(T104:T112)</f>
        <v>-23300</v>
      </c>
      <c r="U115" s="155">
        <f>S115/Q115-1</f>
        <v>-0.2994858611825193</v>
      </c>
      <c r="Y115" s="122">
        <f>SUM(Y104:Y112)</f>
        <v>54500</v>
      </c>
      <c r="AA115" s="122">
        <f>SUM(AA104:AA112)</f>
        <v>47500</v>
      </c>
      <c r="AB115" s="122">
        <f>SUM(AB104:AB112)</f>
        <v>-7000</v>
      </c>
      <c r="AE115" s="122">
        <f>SUM(AE104:AE112)</f>
        <v>49100</v>
      </c>
      <c r="AF115" s="182"/>
      <c r="AH115" s="122">
        <f>SUM(AH104:AH112)</f>
        <v>45254.42</v>
      </c>
      <c r="AI115" s="17">
        <f t="shared" ref="AI115:AI116" si="391">AH115/AE115</f>
        <v>0.92167861507128301</v>
      </c>
      <c r="AK115" s="122">
        <f>SUM(AK104:AK112)</f>
        <v>48700</v>
      </c>
      <c r="AL115" s="193">
        <f t="shared" ref="AL115:AL116" si="392">AK115/L115</f>
        <v>0.62596401028277637</v>
      </c>
      <c r="AM115" s="17">
        <f t="shared" ref="AM115:AM116" si="393">AK115/AE115</f>
        <v>0.99185336048879835</v>
      </c>
      <c r="AN115" s="17">
        <f t="shared" ref="AN115:AN116" si="394">AK115/AH115</f>
        <v>1.0761379772406763</v>
      </c>
      <c r="AS115" s="122">
        <f>SUM(AS104:AS112)</f>
        <v>48700</v>
      </c>
      <c r="AU115" s="122">
        <f>SUM(AU104:AU112)</f>
        <v>0</v>
      </c>
      <c r="AV115" s="122">
        <f>SUM(AV104:AV112)</f>
        <v>48700</v>
      </c>
      <c r="AX115" s="122">
        <f>SUM(AX104:AX112)</f>
        <v>0</v>
      </c>
      <c r="AY115" s="122">
        <f>SUM(AY104:AY112)</f>
        <v>48700</v>
      </c>
      <c r="BA115" s="122">
        <f>SUM(BA104:BA112)</f>
        <v>0</v>
      </c>
      <c r="BB115" s="122">
        <f>SUM(BB104:BB112)</f>
        <v>48700</v>
      </c>
      <c r="BD115" s="122">
        <f>SUM(BD104:BD112)</f>
        <v>-600</v>
      </c>
      <c r="BE115" s="122">
        <f>SUM(BE104:BE112)</f>
        <v>48100</v>
      </c>
      <c r="BG115" s="122">
        <f>SUM(BG104:BG112)</f>
        <v>6000</v>
      </c>
      <c r="BH115" s="122">
        <f>SUM(BH104:BH112)</f>
        <v>54100</v>
      </c>
      <c r="BJ115" s="122">
        <f>SUM(BJ104:BJ112)</f>
        <v>48671.33</v>
      </c>
      <c r="BK115" s="236">
        <f t="shared" ref="BK115" si="395">BJ115/BH115</f>
        <v>0.8996548983364141</v>
      </c>
      <c r="BM115" s="122">
        <f>SUM(BM104:BM112)</f>
        <v>112400</v>
      </c>
      <c r="BN115" s="236">
        <f t="shared" ref="BN115:BN116" si="396">BM115/BJ115</f>
        <v>2.3093677530488685</v>
      </c>
      <c r="BO115" s="236">
        <f t="shared" ref="BO115:BO116" si="397">BM115/BH115</f>
        <v>2.0776340110905731</v>
      </c>
      <c r="BQ115" s="122">
        <f>SUM(BQ104:BQ112)</f>
        <v>0</v>
      </c>
      <c r="BR115" s="122">
        <f>SUM(BR104:BR112)</f>
        <v>112400</v>
      </c>
      <c r="BT115" s="122">
        <f>SUM(BT104:BT112)</f>
        <v>0</v>
      </c>
      <c r="BU115" s="122">
        <f>SUM(BU104:BU112)</f>
        <v>112400</v>
      </c>
      <c r="BW115" s="122">
        <f>SUM(BW104:BW112)</f>
        <v>0</v>
      </c>
      <c r="BX115" s="122">
        <f>SUM(BX104:BX112)</f>
        <v>112400</v>
      </c>
      <c r="BZ115" s="122">
        <f>SUM(BZ104:BZ112)</f>
        <v>0</v>
      </c>
      <c r="CA115" s="122">
        <f>SUM(CA104:CA112)</f>
        <v>112400</v>
      </c>
      <c r="CC115" s="122">
        <f>SUM(CC104:CC112)</f>
        <v>0</v>
      </c>
      <c r="CD115" s="122">
        <f>SUM(CD104:CD112)</f>
        <v>112400</v>
      </c>
      <c r="CF115" s="122">
        <f>SUM(CF104:CF112)</f>
        <v>0</v>
      </c>
      <c r="CG115" s="122">
        <f>SUM(CG104:CG112)</f>
        <v>112400</v>
      </c>
      <c r="CI115" s="122">
        <f>SUM(CI104:CI112)</f>
        <v>0</v>
      </c>
      <c r="CJ115" s="122">
        <f>SUM(CJ104:CJ112)</f>
        <v>112400</v>
      </c>
      <c r="CL115" s="319">
        <f>SUM(CL104:CL112)</f>
        <v>10000</v>
      </c>
      <c r="CM115" s="122">
        <f>SUM(CM104:CM112)</f>
        <v>122400</v>
      </c>
      <c r="CO115" s="122">
        <f>SUM(CO104:CO112)</f>
        <v>10000</v>
      </c>
      <c r="CP115" s="122">
        <f>SUM(CP104:CP112)</f>
        <v>132400</v>
      </c>
      <c r="CR115" s="122">
        <f>SUM(CR104:CR112)</f>
        <v>0</v>
      </c>
      <c r="CS115" s="122">
        <f>SUM(CS104:CS112)</f>
        <v>132400</v>
      </c>
      <c r="CU115" s="122">
        <f>SUM(CU104:CU112)</f>
        <v>4800</v>
      </c>
      <c r="CV115" s="122">
        <f>SUM(CV104:CV112)</f>
        <v>137200</v>
      </c>
      <c r="CX115" s="122">
        <f>SUM(CX104:CX112)</f>
        <v>0</v>
      </c>
      <c r="CY115" s="122">
        <f>SUM(CY104:CY112)</f>
        <v>137200</v>
      </c>
      <c r="DA115" s="122">
        <f>SUM(DA104:DA112)</f>
        <v>136956.79999999999</v>
      </c>
      <c r="DC115" s="122">
        <f>SUM(DC104:DC112)</f>
        <v>135000</v>
      </c>
      <c r="DE115" s="122">
        <f>SUM(DE104:DE112)</f>
        <v>0</v>
      </c>
      <c r="DF115" s="122">
        <f>SUM(DF104:DF112)</f>
        <v>135000</v>
      </c>
      <c r="DH115" s="122">
        <f>SUM(DH104:DH112)</f>
        <v>0</v>
      </c>
      <c r="DI115" s="122">
        <f>SUM(DI104:DI112)</f>
        <v>135000</v>
      </c>
      <c r="DK115" s="122">
        <f>SUM(DK104:DK112)</f>
        <v>0</v>
      </c>
      <c r="DL115" s="122">
        <f>SUM(DL104:DL112)</f>
        <v>135000</v>
      </c>
      <c r="DN115" s="122">
        <f>SUM(DN104:DN112)</f>
        <v>0</v>
      </c>
      <c r="DO115" s="122">
        <f>SUM(DO104:DO112)</f>
        <v>135000</v>
      </c>
      <c r="DQ115" s="122">
        <f>SUM(DQ104:DQ112)</f>
        <v>-37800</v>
      </c>
      <c r="DR115" s="122">
        <f>SUM(DR104:DR112)</f>
        <v>97200</v>
      </c>
      <c r="DT115" s="122">
        <f>SUM(DT104:DT112)</f>
        <v>1800</v>
      </c>
      <c r="DU115" s="122">
        <f>SUM(DU104:DU112)</f>
        <v>99000</v>
      </c>
      <c r="DW115" s="122">
        <f>SUM(DW104:DW112)</f>
        <v>0</v>
      </c>
      <c r="DX115" s="122">
        <f>SUM(DX104:DX112)</f>
        <v>99000</v>
      </c>
      <c r="DZ115" s="122">
        <f>SUM(DZ104:DZ112)</f>
        <v>8000</v>
      </c>
      <c r="EA115" s="122">
        <f>SUM(EA104:EA112)</f>
        <v>107000</v>
      </c>
      <c r="EC115" s="122">
        <f>SUM(EC104:EC112)</f>
        <v>7000</v>
      </c>
      <c r="ED115" s="122">
        <f>SUM(ED104:ED112)</f>
        <v>114000</v>
      </c>
      <c r="EF115" s="122">
        <f>SUM(EF104:EF112)</f>
        <v>6600</v>
      </c>
      <c r="EG115" s="122">
        <f>SUM(EG104:EG112)</f>
        <v>120600</v>
      </c>
      <c r="EI115" s="122">
        <f>SUM(EI104:EI112)</f>
        <v>119829.90000000001</v>
      </c>
      <c r="EK115" s="122">
        <f>SUM(EK104:EK112)</f>
        <v>124000</v>
      </c>
      <c r="EL115" s="377">
        <f>EK115/EI115-1</f>
        <v>3.4800162563767501E-2</v>
      </c>
      <c r="EM115" s="122">
        <f>SUM(EM104:EM112)</f>
        <v>0</v>
      </c>
      <c r="EN115" s="122">
        <f>SUM(EN104:EN112)</f>
        <v>124000</v>
      </c>
      <c r="EP115" s="122">
        <f>SUM(EP104:EP112)</f>
        <v>0</v>
      </c>
      <c r="EQ115" s="122">
        <f>SUM(EQ104:EQ112)</f>
        <v>124000</v>
      </c>
      <c r="ES115" s="122">
        <f>SUM(ES104:ES112)</f>
        <v>0</v>
      </c>
      <c r="ET115" s="122">
        <f>SUM(ET104:ET112)</f>
        <v>124000</v>
      </c>
      <c r="EV115" s="122">
        <f>SUM(EV104:EV112)</f>
        <v>0</v>
      </c>
      <c r="EW115" s="122">
        <f>SUM(EW104:EW112)</f>
        <v>124000</v>
      </c>
      <c r="EY115" s="122">
        <f>SUM(EY104:EY112)</f>
        <v>0</v>
      </c>
      <c r="EZ115" s="122">
        <f>SUM(EZ104:EZ112)</f>
        <v>124000</v>
      </c>
      <c r="FB115" s="122">
        <f>SUM(FB104:FB112)</f>
        <v>25000</v>
      </c>
      <c r="FC115" s="122">
        <f>SUM(FC104:FC112)</f>
        <v>149000</v>
      </c>
      <c r="FE115" s="122">
        <f>SUM(FE104:FE112)</f>
        <v>0</v>
      </c>
      <c r="FF115" s="122">
        <f>SUM(FF104:FF112)</f>
        <v>149000</v>
      </c>
      <c r="FH115" s="122">
        <f>SUM(FH104:FH112)</f>
        <v>0</v>
      </c>
      <c r="FI115" s="122">
        <f>SUM(FI104:FI112)</f>
        <v>149000</v>
      </c>
      <c r="FK115" s="122">
        <f>SUM(FK104:FK112)</f>
        <v>-30000</v>
      </c>
      <c r="FL115" s="122">
        <f>SUM(FL104:FL112)</f>
        <v>119000</v>
      </c>
      <c r="FN115" s="122">
        <f>SUM(FN104:FN112)</f>
        <v>2300</v>
      </c>
      <c r="FO115" s="122">
        <f>SUM(FO104:FO112)</f>
        <v>121300</v>
      </c>
      <c r="FQ115" s="122">
        <v>3850</v>
      </c>
      <c r="FR115" s="122">
        <v>125150</v>
      </c>
      <c r="FT115" s="122">
        <f>SUM(FT104:FT112)</f>
        <v>118050.31</v>
      </c>
      <c r="FV115" s="122">
        <f>SUM(FV104:FV112)</f>
        <v>116000</v>
      </c>
      <c r="FW115" s="235">
        <f t="shared" ref="FW115:FW116" si="398">FV115/FT115</f>
        <v>0.98263189651937388</v>
      </c>
    </row>
    <row r="116" spans="1:179" ht="15" customHeight="1" thickTop="1" thickBot="1">
      <c r="A116" s="64" t="s">
        <v>167</v>
      </c>
      <c r="B116" s="65" t="s">
        <v>357</v>
      </c>
      <c r="C116" s="284" t="s">
        <v>334</v>
      </c>
      <c r="D116" s="66">
        <f>D109</f>
        <v>0</v>
      </c>
      <c r="E116" s="67"/>
      <c r="F116" s="66">
        <f>F109</f>
        <v>2393</v>
      </c>
      <c r="G116" s="67"/>
      <c r="H116" s="66"/>
      <c r="I116" s="66">
        <f>I109</f>
        <v>4000</v>
      </c>
      <c r="J116" s="68"/>
      <c r="K116" s="69"/>
      <c r="L116" s="123">
        <f>L109</f>
        <v>5000</v>
      </c>
      <c r="M116" s="70">
        <f>L116/F116-1</f>
        <v>1.0894274968658588</v>
      </c>
      <c r="N116" s="70">
        <f>L116/I116-1</f>
        <v>0.25</v>
      </c>
      <c r="Q116" s="123">
        <f>Q109</f>
        <v>5000</v>
      </c>
      <c r="R116" s="123">
        <f>R109</f>
        <v>484</v>
      </c>
      <c r="S116" s="123">
        <f>S109</f>
        <v>3000</v>
      </c>
      <c r="T116" s="123">
        <f>T109</f>
        <v>-2000</v>
      </c>
      <c r="U116" s="155">
        <f>S116/Q116-1</f>
        <v>-0.4</v>
      </c>
      <c r="Y116" s="123">
        <f>Y109</f>
        <v>3000</v>
      </c>
      <c r="AA116" s="123">
        <f>AA109</f>
        <v>3000</v>
      </c>
      <c r="AB116" s="123">
        <f>AB109</f>
        <v>0</v>
      </c>
      <c r="AE116" s="123">
        <f>AE109</f>
        <v>3000</v>
      </c>
      <c r="AF116" s="182"/>
      <c r="AH116" s="123">
        <f>AH109</f>
        <v>2565</v>
      </c>
      <c r="AI116" s="17">
        <f t="shared" si="391"/>
        <v>0.85499999999999998</v>
      </c>
      <c r="AK116" s="123">
        <f>AK109</f>
        <v>4000</v>
      </c>
      <c r="AL116" s="193">
        <f t="shared" si="392"/>
        <v>0.8</v>
      </c>
      <c r="AM116" s="17">
        <f t="shared" si="393"/>
        <v>1.3333333333333333</v>
      </c>
      <c r="AN116" s="17">
        <f t="shared" si="394"/>
        <v>1.5594541910331383</v>
      </c>
      <c r="AS116" s="123">
        <f>AS109</f>
        <v>4000</v>
      </c>
      <c r="AU116" s="123">
        <f>AU109</f>
        <v>0</v>
      </c>
      <c r="AV116" s="123">
        <f>AV109</f>
        <v>4000</v>
      </c>
      <c r="AX116" s="123">
        <f>AX109</f>
        <v>0</v>
      </c>
      <c r="AY116" s="123">
        <f>AY109</f>
        <v>4000</v>
      </c>
      <c r="BA116" s="123">
        <f>BA109</f>
        <v>0</v>
      </c>
      <c r="BB116" s="123">
        <f>BB109</f>
        <v>4000</v>
      </c>
      <c r="BD116" s="123">
        <f>BD109</f>
        <v>-2000</v>
      </c>
      <c r="BE116" s="123">
        <f>BE109</f>
        <v>2000</v>
      </c>
      <c r="BG116" s="123">
        <f>BG109</f>
        <v>0</v>
      </c>
      <c r="BH116" s="123">
        <f>BH109</f>
        <v>2000</v>
      </c>
      <c r="BJ116" s="123">
        <f>BJ109</f>
        <v>950</v>
      </c>
      <c r="BK116" s="236">
        <f t="shared" ref="BK116" si="399">BJ116/BH116</f>
        <v>0.47499999999999998</v>
      </c>
      <c r="BM116" s="123">
        <f>BM109</f>
        <v>1000</v>
      </c>
      <c r="BN116" s="236">
        <f t="shared" si="396"/>
        <v>1.0526315789473684</v>
      </c>
      <c r="BO116" s="236">
        <f t="shared" si="397"/>
        <v>0.5</v>
      </c>
      <c r="BQ116" s="123">
        <f>BQ109</f>
        <v>0</v>
      </c>
      <c r="BR116" s="123">
        <f>BR109</f>
        <v>1000</v>
      </c>
      <c r="BT116" s="123">
        <f>BT109</f>
        <v>0</v>
      </c>
      <c r="BU116" s="123">
        <f>BU109</f>
        <v>1000</v>
      </c>
      <c r="BW116" s="123">
        <f>BW109</f>
        <v>0</v>
      </c>
      <c r="BX116" s="123">
        <f>BX109</f>
        <v>1000</v>
      </c>
      <c r="BZ116" s="123">
        <f>BZ109</f>
        <v>0</v>
      </c>
      <c r="CA116" s="123">
        <f>CA109</f>
        <v>1000</v>
      </c>
      <c r="CC116" s="123">
        <f>CC109</f>
        <v>0</v>
      </c>
      <c r="CD116" s="123">
        <f>CD109</f>
        <v>1000</v>
      </c>
      <c r="CF116" s="123">
        <f>CF109</f>
        <v>0</v>
      </c>
      <c r="CG116" s="123">
        <f>CG109</f>
        <v>1000</v>
      </c>
      <c r="CI116" s="123">
        <f>CI109</f>
        <v>0</v>
      </c>
      <c r="CJ116" s="123">
        <f>CJ109</f>
        <v>1000</v>
      </c>
      <c r="CL116" s="319">
        <f>CL109</f>
        <v>0</v>
      </c>
      <c r="CM116" s="123">
        <f>CM109</f>
        <v>1000</v>
      </c>
      <c r="CO116" s="123">
        <f>CO109</f>
        <v>0</v>
      </c>
      <c r="CP116" s="123">
        <f>CP109</f>
        <v>1000</v>
      </c>
      <c r="CR116" s="123">
        <f>CR109</f>
        <v>0</v>
      </c>
      <c r="CS116" s="123">
        <f>CS109</f>
        <v>1000</v>
      </c>
      <c r="CU116" s="123">
        <f>CU109</f>
        <v>-1000</v>
      </c>
      <c r="CV116" s="123">
        <f>CV109</f>
        <v>0</v>
      </c>
      <c r="CX116" s="123">
        <f>CX109</f>
        <v>0</v>
      </c>
      <c r="CY116" s="123">
        <f>CY109</f>
        <v>0</v>
      </c>
      <c r="DA116" s="123">
        <f>DA109</f>
        <v>0</v>
      </c>
      <c r="DC116" s="123">
        <f>DC109</f>
        <v>2000</v>
      </c>
      <c r="DE116" s="123">
        <f>DE109</f>
        <v>0</v>
      </c>
      <c r="DF116" s="123">
        <f>DF109</f>
        <v>2000</v>
      </c>
      <c r="DH116" s="123">
        <f>DH109</f>
        <v>0</v>
      </c>
      <c r="DI116" s="123">
        <f>DI109</f>
        <v>2000</v>
      </c>
      <c r="DK116" s="123">
        <f>DK109</f>
        <v>0</v>
      </c>
      <c r="DL116" s="123">
        <f>DL109</f>
        <v>2000</v>
      </c>
      <c r="DN116" s="123">
        <f>DN109</f>
        <v>0</v>
      </c>
      <c r="DO116" s="123">
        <f>DO109</f>
        <v>2000</v>
      </c>
      <c r="DQ116" s="123">
        <f>DQ109</f>
        <v>0</v>
      </c>
      <c r="DR116" s="123">
        <f>DR109</f>
        <v>2000</v>
      </c>
      <c r="DT116" s="123">
        <f>DT109</f>
        <v>0</v>
      </c>
      <c r="DU116" s="123">
        <f>DU109</f>
        <v>2000</v>
      </c>
      <c r="DW116" s="123">
        <f>DW109</f>
        <v>0</v>
      </c>
      <c r="DX116" s="123">
        <f>DX109</f>
        <v>2000</v>
      </c>
      <c r="DZ116" s="123">
        <f>DZ109</f>
        <v>0</v>
      </c>
      <c r="EA116" s="123">
        <f>EA109</f>
        <v>2000</v>
      </c>
      <c r="EC116" s="123">
        <f>EC109</f>
        <v>-2000</v>
      </c>
      <c r="ED116" s="123">
        <f>ED109</f>
        <v>0</v>
      </c>
      <c r="EF116" s="123">
        <f>EF109</f>
        <v>0</v>
      </c>
      <c r="EG116" s="123">
        <f>EG109</f>
        <v>0</v>
      </c>
      <c r="EI116" s="123">
        <f>EI109</f>
        <v>0</v>
      </c>
      <c r="EK116" s="123">
        <f>EK109</f>
        <v>0</v>
      </c>
      <c r="EM116" s="123">
        <f>EM109</f>
        <v>0</v>
      </c>
      <c r="EN116" s="123">
        <f>EN109</f>
        <v>0</v>
      </c>
      <c r="EP116" s="123">
        <f>EP109</f>
        <v>0</v>
      </c>
      <c r="EQ116" s="123">
        <f>EQ109</f>
        <v>0</v>
      </c>
      <c r="ES116" s="123">
        <f>ES109</f>
        <v>0</v>
      </c>
      <c r="ET116" s="123">
        <f>ET109</f>
        <v>0</v>
      </c>
      <c r="EV116" s="123">
        <f>EV109</f>
        <v>0</v>
      </c>
      <c r="EW116" s="123">
        <f>EW109</f>
        <v>0</v>
      </c>
      <c r="EY116" s="123">
        <f>EY109</f>
        <v>0</v>
      </c>
      <c r="EZ116" s="123">
        <f>EZ109</f>
        <v>0</v>
      </c>
      <c r="FB116" s="123">
        <f>FB109</f>
        <v>25000</v>
      </c>
      <c r="FC116" s="123">
        <f>FC109</f>
        <v>25000</v>
      </c>
      <c r="FE116" s="123">
        <f>FE109</f>
        <v>0</v>
      </c>
      <c r="FF116" s="123">
        <f>FF109</f>
        <v>25000</v>
      </c>
      <c r="FH116" s="123">
        <f>FH109</f>
        <v>0</v>
      </c>
      <c r="FI116" s="123">
        <f>FI109</f>
        <v>25000</v>
      </c>
      <c r="FK116" s="123">
        <f>FK109</f>
        <v>-10000</v>
      </c>
      <c r="FL116" s="123">
        <f>FL109</f>
        <v>15000</v>
      </c>
      <c r="FN116" s="123">
        <f>FN109</f>
        <v>0</v>
      </c>
      <c r="FO116" s="123">
        <f>FO109</f>
        <v>15000</v>
      </c>
      <c r="FQ116" s="123">
        <v>0</v>
      </c>
      <c r="FR116" s="123">
        <v>15000</v>
      </c>
      <c r="FT116" s="123">
        <f>FT109</f>
        <v>8373.2000000000007</v>
      </c>
      <c r="FV116" s="123">
        <f>FV109</f>
        <v>5000</v>
      </c>
      <c r="FW116" s="235">
        <f t="shared" si="398"/>
        <v>0.59714326661252559</v>
      </c>
    </row>
    <row r="117" spans="1:179" ht="15.75" outlineLevel="1" thickTop="1">
      <c r="A117" s="1" t="s">
        <v>171</v>
      </c>
      <c r="B117" s="1" t="s">
        <v>115</v>
      </c>
      <c r="C117" s="4" t="s">
        <v>116</v>
      </c>
      <c r="D117" s="43">
        <v>36000</v>
      </c>
      <c r="E117" s="34">
        <v>7</v>
      </c>
      <c r="F117" s="43">
        <v>146000</v>
      </c>
      <c r="G117" s="34">
        <v>1.73</v>
      </c>
      <c r="H117" s="46">
        <v>2520</v>
      </c>
      <c r="I117" s="36">
        <v>2520</v>
      </c>
      <c r="J117" s="14"/>
      <c r="L117" s="118">
        <v>0</v>
      </c>
      <c r="M117" s="17">
        <f>L117/F117-1</f>
        <v>-1</v>
      </c>
      <c r="N117" s="17">
        <f>L117/I117-1</f>
        <v>-1</v>
      </c>
      <c r="Y117" s="118"/>
      <c r="AF117" s="182"/>
      <c r="AH117" s="15"/>
      <c r="AX117" s="15"/>
      <c r="BD117" s="15"/>
      <c r="BG117" s="15"/>
      <c r="BM117">
        <v>0</v>
      </c>
      <c r="BQ117" s="15"/>
      <c r="BR117" s="15">
        <f t="shared" ref="BR117:BR118" si="400">BM117+BQ117</f>
        <v>0</v>
      </c>
      <c r="BT117" s="15"/>
      <c r="BU117" s="15">
        <f>BR117+BT117</f>
        <v>0</v>
      </c>
      <c r="BW117" s="15"/>
      <c r="BX117" s="15">
        <f>BU117+BW117</f>
        <v>0</v>
      </c>
      <c r="BZ117" s="15"/>
      <c r="CA117" s="15">
        <f>BX117+BZ117</f>
        <v>0</v>
      </c>
      <c r="CC117" s="15"/>
      <c r="CD117" s="15">
        <f>CA117+CC117</f>
        <v>0</v>
      </c>
      <c r="CF117" s="15"/>
      <c r="CG117" s="15">
        <f>CD117+CF117</f>
        <v>0</v>
      </c>
      <c r="CI117" s="15"/>
      <c r="CJ117" s="15">
        <f>CG117+CI117</f>
        <v>0</v>
      </c>
      <c r="CM117" s="15">
        <f>CJ117+CL117</f>
        <v>0</v>
      </c>
      <c r="CP117" s="15">
        <f>CM117+CO117</f>
        <v>0</v>
      </c>
      <c r="CS117" s="15">
        <f>CP117+CR117</f>
        <v>0</v>
      </c>
      <c r="CV117" s="15">
        <f>CS117+CU117</f>
        <v>0</v>
      </c>
      <c r="CY117" s="15">
        <f>CV117+CX117</f>
        <v>0</v>
      </c>
      <c r="DA117" s="15">
        <v>0</v>
      </c>
      <c r="DC117" s="15">
        <v>0</v>
      </c>
      <c r="DE117" s="15"/>
      <c r="DH117" s="15"/>
      <c r="DK117" s="15"/>
      <c r="DN117" s="15"/>
      <c r="DQ117" s="15"/>
      <c r="DT117" s="15"/>
      <c r="DW117" s="15"/>
      <c r="DZ117" s="15"/>
      <c r="EC117" s="15"/>
      <c r="EF117" s="15"/>
      <c r="EK117" s="15"/>
      <c r="EM117" s="15"/>
      <c r="EP117" s="15"/>
      <c r="ES117" s="15"/>
    </row>
    <row r="118" spans="1:179" outlineLevel="1">
      <c r="A118" s="1" t="s">
        <v>171</v>
      </c>
      <c r="B118" s="1" t="s">
        <v>208</v>
      </c>
      <c r="C118" s="4" t="s">
        <v>209</v>
      </c>
      <c r="D118" s="43">
        <v>0</v>
      </c>
      <c r="E118" s="34">
        <v>0</v>
      </c>
      <c r="F118" s="43">
        <v>0</v>
      </c>
      <c r="G118" s="34">
        <v>0</v>
      </c>
      <c r="H118" s="46">
        <v>108900</v>
      </c>
      <c r="I118" s="36">
        <v>135000</v>
      </c>
      <c r="J118" s="14"/>
      <c r="L118" s="118">
        <v>0</v>
      </c>
      <c r="M118" s="17" t="e">
        <f>L118/F118-1</f>
        <v>#DIV/0!</v>
      </c>
      <c r="N118" s="17">
        <f>L118/I118-1</f>
        <v>-1</v>
      </c>
      <c r="Q118" s="118">
        <v>23000</v>
      </c>
      <c r="R118" s="15">
        <v>22990</v>
      </c>
      <c r="S118" s="118">
        <v>23000</v>
      </c>
      <c r="T118" s="15">
        <f>S118-Q118</f>
        <v>0</v>
      </c>
      <c r="U118" s="16">
        <f>S118/Q118-1</f>
        <v>0</v>
      </c>
      <c r="V118" s="140">
        <v>23000</v>
      </c>
      <c r="W118">
        <v>23000</v>
      </c>
      <c r="Y118" s="118">
        <v>23000</v>
      </c>
      <c r="AA118" s="118">
        <v>23000</v>
      </c>
      <c r="AB118" s="185">
        <f t="shared" ref="AB118" si="401">AA118-Y118</f>
        <v>0</v>
      </c>
      <c r="AC118" s="187">
        <f t="shared" ref="AC118" si="402">AA118-Y118</f>
        <v>0</v>
      </c>
      <c r="AD118" s="187"/>
      <c r="AE118" s="118">
        <v>23000</v>
      </c>
      <c r="AF118" s="182"/>
      <c r="AH118" s="15">
        <v>22990</v>
      </c>
      <c r="AI118" s="17">
        <f t="shared" ref="AI118" si="403">AH118/AE118</f>
        <v>0.99956521739130433</v>
      </c>
      <c r="AK118" s="118">
        <v>0</v>
      </c>
      <c r="AX118" s="15"/>
      <c r="BD118" s="15"/>
      <c r="BG118" s="15"/>
      <c r="BM118">
        <v>0</v>
      </c>
      <c r="BQ118" s="15"/>
      <c r="BR118" s="15">
        <f t="shared" si="400"/>
        <v>0</v>
      </c>
      <c r="BT118" s="15"/>
      <c r="BU118" s="15">
        <f>BR118+BT118</f>
        <v>0</v>
      </c>
      <c r="BW118" s="15"/>
      <c r="BX118" s="15">
        <f>BU118+BW118</f>
        <v>0</v>
      </c>
      <c r="BZ118" s="15"/>
      <c r="CA118" s="15">
        <f>BX118+BZ118</f>
        <v>0</v>
      </c>
      <c r="CC118" s="15"/>
      <c r="CD118" s="15">
        <f>CA118+CC118</f>
        <v>0</v>
      </c>
      <c r="CF118" s="15"/>
      <c r="CG118" s="15">
        <f>CD118+CF118</f>
        <v>0</v>
      </c>
      <c r="CI118" s="15"/>
      <c r="CJ118" s="15">
        <f>CG118+CI118</f>
        <v>0</v>
      </c>
      <c r="CM118" s="15">
        <f>CJ118+CL118</f>
        <v>0</v>
      </c>
      <c r="CP118" s="15">
        <f>CM118+CO118</f>
        <v>0</v>
      </c>
      <c r="CS118" s="15">
        <f>CP118+CR118</f>
        <v>0</v>
      </c>
      <c r="CV118" s="15">
        <f>CS118+CU118</f>
        <v>0</v>
      </c>
      <c r="CY118" s="15">
        <f>CV118+CX118</f>
        <v>0</v>
      </c>
      <c r="DA118" s="15">
        <v>0</v>
      </c>
      <c r="DC118" s="15">
        <v>0</v>
      </c>
      <c r="DE118" s="15"/>
      <c r="DH118" s="15"/>
      <c r="DK118" s="15"/>
      <c r="DN118" s="15"/>
      <c r="DQ118" s="15"/>
      <c r="DT118" s="15"/>
      <c r="DW118" s="15"/>
      <c r="DZ118" s="15"/>
      <c r="EC118" s="15"/>
      <c r="EF118" s="15"/>
      <c r="EK118" s="15"/>
      <c r="EM118" s="15"/>
      <c r="EP118" s="15"/>
      <c r="ES118" s="15"/>
    </row>
    <row r="119" spans="1:179" ht="17.25" customHeight="1" outlineLevel="1">
      <c r="A119" s="1" t="s">
        <v>171</v>
      </c>
      <c r="B119" s="4" t="s">
        <v>46</v>
      </c>
      <c r="C119" s="4" t="s">
        <v>172</v>
      </c>
      <c r="D119" s="43">
        <v>36000</v>
      </c>
      <c r="E119" s="34">
        <v>309.5</v>
      </c>
      <c r="F119" s="43">
        <v>146000</v>
      </c>
      <c r="G119" s="34">
        <v>76.319999999999993</v>
      </c>
      <c r="H119" s="46">
        <v>111420</v>
      </c>
      <c r="I119" s="36"/>
      <c r="J119" s="14"/>
      <c r="Y119" s="118"/>
      <c r="AF119" s="182"/>
      <c r="AH119" s="15"/>
      <c r="AS119" s="15">
        <f t="shared" ref="AS119" si="404">AR119+AK119</f>
        <v>0</v>
      </c>
      <c r="AX119" s="15"/>
      <c r="BD119" s="15"/>
      <c r="BG119" s="15"/>
      <c r="DE119" s="15"/>
      <c r="DH119" s="15"/>
      <c r="DK119" s="15"/>
      <c r="DN119" s="15"/>
      <c r="DQ119" s="15"/>
      <c r="DT119" s="15"/>
      <c r="DW119" s="15"/>
      <c r="DZ119" s="15"/>
      <c r="EC119" s="15"/>
      <c r="EF119" s="15"/>
      <c r="EK119" s="15"/>
      <c r="EM119" s="15"/>
      <c r="EP119" s="15"/>
      <c r="ES119" s="15"/>
    </row>
    <row r="120" spans="1:179" ht="17.25" customHeight="1" thickBot="1">
      <c r="A120" s="54" t="s">
        <v>171</v>
      </c>
      <c r="B120" s="55" t="s">
        <v>316</v>
      </c>
      <c r="C120" s="283" t="s">
        <v>172</v>
      </c>
      <c r="D120" s="57">
        <f>D117</f>
        <v>36000</v>
      </c>
      <c r="E120" s="58"/>
      <c r="F120" s="57">
        <f>F117</f>
        <v>146000</v>
      </c>
      <c r="G120" s="58"/>
      <c r="H120" s="57"/>
      <c r="I120" s="57">
        <f>I117</f>
        <v>2520</v>
      </c>
      <c r="J120" s="138" t="e">
        <f>I120/$I$332</f>
        <v>#REF!</v>
      </c>
      <c r="K120" s="60"/>
      <c r="L120" s="122">
        <f>L117</f>
        <v>0</v>
      </c>
      <c r="M120" s="61">
        <f t="shared" ref="M120:M127" si="405">L120/F120-1</f>
        <v>-1</v>
      </c>
      <c r="N120" s="61">
        <f t="shared" ref="N120:N127" si="406">L120/I120-1</f>
        <v>-1</v>
      </c>
      <c r="O120" s="17">
        <f>L120/$L$332</f>
        <v>0</v>
      </c>
      <c r="P120" s="17"/>
      <c r="Q120" s="122">
        <f t="shared" ref="Q120:T121" si="407">Q117</f>
        <v>0</v>
      </c>
      <c r="R120" s="122">
        <f t="shared" si="407"/>
        <v>0</v>
      </c>
      <c r="S120" s="122">
        <f t="shared" si="407"/>
        <v>0</v>
      </c>
      <c r="T120" s="122">
        <f t="shared" si="407"/>
        <v>0</v>
      </c>
      <c r="U120" s="155" t="e">
        <f>S120/Q120-1</f>
        <v>#DIV/0!</v>
      </c>
      <c r="Y120" s="122">
        <f>Y117</f>
        <v>0</v>
      </c>
      <c r="AA120" s="122">
        <f>AA117</f>
        <v>0</v>
      </c>
      <c r="AB120" s="122">
        <f>AB117</f>
        <v>0</v>
      </c>
      <c r="AE120" s="122">
        <f>AE117</f>
        <v>0</v>
      </c>
      <c r="AF120" s="182"/>
      <c r="AH120" s="122">
        <f>AH117</f>
        <v>0</v>
      </c>
      <c r="AI120" s="17" t="e">
        <f t="shared" ref="AI120:AI123" si="408">AH120/AE120</f>
        <v>#DIV/0!</v>
      </c>
      <c r="AK120" s="122">
        <f>AK117</f>
        <v>0</v>
      </c>
      <c r="AL120" s="193" t="e">
        <f t="shared" ref="AL120:AL121" si="409">AK120/L120</f>
        <v>#DIV/0!</v>
      </c>
      <c r="AM120" s="17" t="e">
        <f t="shared" ref="AM120:AM121" si="410">AK120/AE120</f>
        <v>#DIV/0!</v>
      </c>
      <c r="AN120" s="17" t="e">
        <f t="shared" ref="AN120:AN121" si="411">AK120/AH120</f>
        <v>#DIV/0!</v>
      </c>
      <c r="AS120" s="122">
        <f>AS117</f>
        <v>0</v>
      </c>
      <c r="AU120" s="122">
        <f>AU117</f>
        <v>0</v>
      </c>
      <c r="AV120" s="122">
        <f>AV117</f>
        <v>0</v>
      </c>
      <c r="AX120" s="122">
        <f>AX117</f>
        <v>0</v>
      </c>
      <c r="AY120" s="122">
        <f>AY117</f>
        <v>0</v>
      </c>
      <c r="BA120" s="122">
        <f>BA117</f>
        <v>0</v>
      </c>
      <c r="BB120" s="122">
        <f>BB117</f>
        <v>0</v>
      </c>
      <c r="BD120" s="122">
        <f>BD117</f>
        <v>0</v>
      </c>
      <c r="BE120" s="122">
        <f>BE117</f>
        <v>0</v>
      </c>
      <c r="BG120" s="122">
        <f>BG117</f>
        <v>0</v>
      </c>
      <c r="BH120" s="122">
        <f>BH117</f>
        <v>0</v>
      </c>
      <c r="BJ120" s="122">
        <f>BJ117</f>
        <v>0</v>
      </c>
      <c r="BK120" s="236" t="e">
        <f t="shared" ref="BK120:BK121" si="412">BJ120/BH120</f>
        <v>#DIV/0!</v>
      </c>
      <c r="BM120" s="122">
        <f>BM117</f>
        <v>0</v>
      </c>
      <c r="BN120" s="236" t="e">
        <f t="shared" ref="BN120:BN121" si="413">BM120/BJ120</f>
        <v>#DIV/0!</v>
      </c>
      <c r="BO120" s="236" t="e">
        <f t="shared" ref="BO120:BO121" si="414">BM120/BH120</f>
        <v>#DIV/0!</v>
      </c>
      <c r="BQ120" s="122">
        <f>BQ117</f>
        <v>0</v>
      </c>
      <c r="BR120" s="122">
        <f>BR117</f>
        <v>0</v>
      </c>
      <c r="BT120" s="122">
        <f>BT117</f>
        <v>0</v>
      </c>
      <c r="BU120" s="122">
        <f>BU117</f>
        <v>0</v>
      </c>
      <c r="BW120" s="122">
        <f>BW117</f>
        <v>0</v>
      </c>
      <c r="BX120" s="122">
        <f>BX117</f>
        <v>0</v>
      </c>
      <c r="BZ120" s="122">
        <f>BZ117</f>
        <v>0</v>
      </c>
      <c r="CA120" s="122">
        <f>CA117</f>
        <v>0</v>
      </c>
      <c r="CC120" s="122">
        <f>CC117</f>
        <v>0</v>
      </c>
      <c r="CD120" s="122">
        <f>CD117</f>
        <v>0</v>
      </c>
      <c r="CF120" s="122">
        <f>CF117</f>
        <v>0</v>
      </c>
      <c r="CG120" s="122">
        <f>CG117</f>
        <v>0</v>
      </c>
      <c r="CI120" s="122">
        <f>CI117</f>
        <v>0</v>
      </c>
      <c r="CJ120" s="122">
        <f>CJ117</f>
        <v>0</v>
      </c>
      <c r="CL120" s="319">
        <f>CL117</f>
        <v>0</v>
      </c>
      <c r="CM120" s="122">
        <f>CM117</f>
        <v>0</v>
      </c>
      <c r="CO120" s="122">
        <f>CO117</f>
        <v>0</v>
      </c>
      <c r="CP120" s="122">
        <f>CP117</f>
        <v>0</v>
      </c>
      <c r="CR120" s="122">
        <f>CR117</f>
        <v>0</v>
      </c>
      <c r="CS120" s="122">
        <f>CS117</f>
        <v>0</v>
      </c>
      <c r="CU120" s="122">
        <f>CU117</f>
        <v>0</v>
      </c>
      <c r="CV120" s="122">
        <f>CV117</f>
        <v>0</v>
      </c>
      <c r="CX120" s="122">
        <f>CX117</f>
        <v>0</v>
      </c>
      <c r="CY120" s="122">
        <f>CY117</f>
        <v>0</v>
      </c>
      <c r="DA120" s="122">
        <f>DA117</f>
        <v>0</v>
      </c>
      <c r="DC120" s="122">
        <f>DC117</f>
        <v>0</v>
      </c>
      <c r="DE120" s="122">
        <f>DE117</f>
        <v>0</v>
      </c>
      <c r="DF120" s="122">
        <f>DF117</f>
        <v>0</v>
      </c>
      <c r="DH120" s="122">
        <f>DH117</f>
        <v>0</v>
      </c>
      <c r="DI120" s="122">
        <f>DI117</f>
        <v>0</v>
      </c>
      <c r="DK120" s="122">
        <f>DK117</f>
        <v>0</v>
      </c>
      <c r="DL120" s="122">
        <f>DL117</f>
        <v>0</v>
      </c>
      <c r="DN120" s="122">
        <f>DN117</f>
        <v>0</v>
      </c>
      <c r="DO120" s="122">
        <f>DO117</f>
        <v>0</v>
      </c>
      <c r="DQ120" s="122">
        <f>DQ117</f>
        <v>0</v>
      </c>
      <c r="DR120" s="122">
        <f>DR117</f>
        <v>0</v>
      </c>
      <c r="DT120" s="122">
        <f>DT117</f>
        <v>0</v>
      </c>
      <c r="DU120" s="122">
        <f>DU117</f>
        <v>0</v>
      </c>
      <c r="DW120" s="122">
        <f>DW117</f>
        <v>0</v>
      </c>
      <c r="DX120" s="122">
        <f>DX117</f>
        <v>0</v>
      </c>
      <c r="DZ120" s="122">
        <f>DZ117</f>
        <v>0</v>
      </c>
      <c r="EA120" s="122">
        <f>EA117</f>
        <v>0</v>
      </c>
      <c r="EC120" s="122">
        <f>EC117</f>
        <v>0</v>
      </c>
      <c r="ED120" s="122">
        <f>ED117</f>
        <v>0</v>
      </c>
      <c r="EF120" s="122">
        <f>EF117</f>
        <v>0</v>
      </c>
      <c r="EG120" s="122">
        <f>EG117</f>
        <v>0</v>
      </c>
      <c r="EI120" s="122">
        <f>EI117</f>
        <v>0</v>
      </c>
      <c r="EK120" s="122">
        <f>EK117</f>
        <v>0</v>
      </c>
      <c r="EM120" s="122">
        <f>EM117</f>
        <v>0</v>
      </c>
      <c r="EN120" s="122">
        <f>EN117</f>
        <v>0</v>
      </c>
      <c r="EP120" s="122">
        <f>EP117</f>
        <v>0</v>
      </c>
      <c r="EQ120" s="122">
        <f>EQ117</f>
        <v>0</v>
      </c>
      <c r="ES120" s="122">
        <f>ES117</f>
        <v>0</v>
      </c>
      <c r="ET120" s="122">
        <f>ET117</f>
        <v>0</v>
      </c>
      <c r="EV120" s="122">
        <f>EV117</f>
        <v>0</v>
      </c>
      <c r="EW120" s="122">
        <f>EW117</f>
        <v>0</v>
      </c>
      <c r="EY120" s="122">
        <f>EY117</f>
        <v>0</v>
      </c>
      <c r="EZ120" s="122">
        <f>EZ117</f>
        <v>0</v>
      </c>
      <c r="FB120" s="122">
        <f>FB117</f>
        <v>0</v>
      </c>
      <c r="FC120" s="122">
        <f>FC117</f>
        <v>0</v>
      </c>
      <c r="FE120" s="122">
        <f>FE117</f>
        <v>0</v>
      </c>
      <c r="FF120" s="122">
        <f>FF117</f>
        <v>0</v>
      </c>
      <c r="FH120" s="122">
        <f>FH117</f>
        <v>0</v>
      </c>
      <c r="FI120" s="122">
        <f>FI117</f>
        <v>0</v>
      </c>
      <c r="FK120" s="122">
        <f>FK117</f>
        <v>0</v>
      </c>
      <c r="FL120" s="122">
        <f>FL117</f>
        <v>0</v>
      </c>
      <c r="FN120" s="122">
        <f>FN117</f>
        <v>0</v>
      </c>
      <c r="FO120" s="122">
        <f>FO117</f>
        <v>0</v>
      </c>
      <c r="FQ120" s="122">
        <v>0</v>
      </c>
      <c r="FR120" s="122">
        <v>0</v>
      </c>
      <c r="FT120" s="122">
        <f>FT117</f>
        <v>0</v>
      </c>
      <c r="FV120" s="122">
        <f>FV117</f>
        <v>0</v>
      </c>
      <c r="FW120" s="235" t="e">
        <f t="shared" ref="FW120:FW121" si="415">FV120/FT120</f>
        <v>#DIV/0!</v>
      </c>
    </row>
    <row r="121" spans="1:179" ht="17.25" customHeight="1" thickTop="1" thickBot="1">
      <c r="A121" s="75" t="s">
        <v>171</v>
      </c>
      <c r="B121" s="76" t="s">
        <v>277</v>
      </c>
      <c r="C121" s="285" t="s">
        <v>335</v>
      </c>
      <c r="D121" s="78">
        <f>D118</f>
        <v>0</v>
      </c>
      <c r="E121" s="79"/>
      <c r="F121" s="78">
        <f>F118</f>
        <v>0</v>
      </c>
      <c r="G121" s="79"/>
      <c r="H121" s="78"/>
      <c r="I121" s="78">
        <f>I118</f>
        <v>135000</v>
      </c>
      <c r="J121" s="80"/>
      <c r="K121" s="77"/>
      <c r="L121" s="124">
        <f>L118</f>
        <v>0</v>
      </c>
      <c r="M121" s="81" t="e">
        <f t="shared" si="405"/>
        <v>#DIV/0!</v>
      </c>
      <c r="N121" s="81">
        <f t="shared" si="406"/>
        <v>-1</v>
      </c>
      <c r="Q121" s="124">
        <f t="shared" si="407"/>
        <v>23000</v>
      </c>
      <c r="R121" s="124">
        <f t="shared" si="407"/>
        <v>22990</v>
      </c>
      <c r="S121" s="124">
        <f t="shared" si="407"/>
        <v>23000</v>
      </c>
      <c r="T121" s="124">
        <f t="shared" si="407"/>
        <v>0</v>
      </c>
      <c r="U121" s="156">
        <f>S121/Q121-1</f>
        <v>0</v>
      </c>
      <c r="Y121" s="124">
        <f>Y118</f>
        <v>23000</v>
      </c>
      <c r="AA121" s="124">
        <f>AA118</f>
        <v>23000</v>
      </c>
      <c r="AB121" s="124">
        <f>AB118</f>
        <v>0</v>
      </c>
      <c r="AE121" s="124">
        <f>AE118</f>
        <v>23000</v>
      </c>
      <c r="AF121" s="182"/>
      <c r="AH121" s="124">
        <f>AH118</f>
        <v>22990</v>
      </c>
      <c r="AI121" s="17">
        <f t="shared" si="408"/>
        <v>0.99956521739130433</v>
      </c>
      <c r="AK121" s="124">
        <f>AK118</f>
        <v>0</v>
      </c>
      <c r="AL121" s="193" t="e">
        <f t="shared" si="409"/>
        <v>#DIV/0!</v>
      </c>
      <c r="AM121" s="17">
        <f t="shared" si="410"/>
        <v>0</v>
      </c>
      <c r="AN121" s="17">
        <f t="shared" si="411"/>
        <v>0</v>
      </c>
      <c r="AS121" s="124">
        <f>AS118</f>
        <v>0</v>
      </c>
      <c r="AU121" s="124">
        <f>AU118</f>
        <v>0</v>
      </c>
      <c r="AV121" s="124">
        <f>AV118</f>
        <v>0</v>
      </c>
      <c r="AX121" s="124">
        <f>AX118</f>
        <v>0</v>
      </c>
      <c r="AY121" s="124">
        <f>AY118</f>
        <v>0</v>
      </c>
      <c r="BA121" s="124">
        <f>BA118</f>
        <v>0</v>
      </c>
      <c r="BB121" s="124">
        <f>BB118</f>
        <v>0</v>
      </c>
      <c r="BD121" s="124">
        <f>BD118</f>
        <v>0</v>
      </c>
      <c r="BE121" s="124">
        <f>BE118</f>
        <v>0</v>
      </c>
      <c r="BG121" s="124">
        <f>BG118</f>
        <v>0</v>
      </c>
      <c r="BH121" s="124">
        <f>BH118</f>
        <v>0</v>
      </c>
      <c r="BJ121" s="124">
        <f>BJ118</f>
        <v>0</v>
      </c>
      <c r="BK121" s="237" t="e">
        <f t="shared" si="412"/>
        <v>#DIV/0!</v>
      </c>
      <c r="BM121" s="124">
        <f>BM118</f>
        <v>0</v>
      </c>
      <c r="BN121" s="237" t="e">
        <f t="shared" si="413"/>
        <v>#DIV/0!</v>
      </c>
      <c r="BO121" s="237" t="e">
        <f t="shared" si="414"/>
        <v>#DIV/0!</v>
      </c>
      <c r="BQ121" s="124">
        <f>BQ118</f>
        <v>0</v>
      </c>
      <c r="BR121" s="124">
        <f>BR118</f>
        <v>0</v>
      </c>
      <c r="BT121" s="124">
        <f>BT118</f>
        <v>0</v>
      </c>
      <c r="BU121" s="124">
        <f>BU118</f>
        <v>0</v>
      </c>
      <c r="BW121" s="124">
        <f>BW118</f>
        <v>0</v>
      </c>
      <c r="BX121" s="124">
        <f>BX118</f>
        <v>0</v>
      </c>
      <c r="BZ121" s="124">
        <f>BZ118</f>
        <v>0</v>
      </c>
      <c r="CA121" s="124">
        <f>CA118</f>
        <v>0</v>
      </c>
      <c r="CC121" s="124">
        <f>CC118</f>
        <v>0</v>
      </c>
      <c r="CD121" s="124">
        <f>CD118</f>
        <v>0</v>
      </c>
      <c r="CF121" s="124">
        <f>CF118</f>
        <v>0</v>
      </c>
      <c r="CG121" s="124">
        <f>CG118</f>
        <v>0</v>
      </c>
      <c r="CI121" s="124">
        <f>CI118</f>
        <v>0</v>
      </c>
      <c r="CJ121" s="124">
        <f>CJ118</f>
        <v>0</v>
      </c>
      <c r="CL121" s="319">
        <f>CL118</f>
        <v>0</v>
      </c>
      <c r="CM121" s="124">
        <f>CM118</f>
        <v>0</v>
      </c>
      <c r="CO121" s="124">
        <f>CO118</f>
        <v>0</v>
      </c>
      <c r="CP121" s="124">
        <f>CP118</f>
        <v>0</v>
      </c>
      <c r="CR121" s="124">
        <f>CR118</f>
        <v>0</v>
      </c>
      <c r="CS121" s="124">
        <f>CS118</f>
        <v>0</v>
      </c>
      <c r="CU121" s="124">
        <f>CU118</f>
        <v>0</v>
      </c>
      <c r="CV121" s="124">
        <f>CV118</f>
        <v>0</v>
      </c>
      <c r="CX121" s="124">
        <f>CX118</f>
        <v>0</v>
      </c>
      <c r="CY121" s="124">
        <f>CY118</f>
        <v>0</v>
      </c>
      <c r="DA121" s="124">
        <f>DA118</f>
        <v>0</v>
      </c>
      <c r="DC121" s="124">
        <f>DC118</f>
        <v>0</v>
      </c>
      <c r="DE121" s="124">
        <f>DE118</f>
        <v>0</v>
      </c>
      <c r="DF121" s="124">
        <f>DF118</f>
        <v>0</v>
      </c>
      <c r="DH121" s="124">
        <f>DH118</f>
        <v>0</v>
      </c>
      <c r="DI121" s="124">
        <f>DI118</f>
        <v>0</v>
      </c>
      <c r="DK121" s="124">
        <f>DK118</f>
        <v>0</v>
      </c>
      <c r="DL121" s="124">
        <f>DL118</f>
        <v>0</v>
      </c>
      <c r="DN121" s="124">
        <f>DN118</f>
        <v>0</v>
      </c>
      <c r="DO121" s="124">
        <f>DO118</f>
        <v>0</v>
      </c>
      <c r="DQ121" s="124">
        <f>DQ118</f>
        <v>0</v>
      </c>
      <c r="DR121" s="124">
        <f>DR118</f>
        <v>0</v>
      </c>
      <c r="DT121" s="124">
        <f>DT118</f>
        <v>0</v>
      </c>
      <c r="DU121" s="124">
        <f>DU118</f>
        <v>0</v>
      </c>
      <c r="DW121" s="124">
        <f>DW118</f>
        <v>0</v>
      </c>
      <c r="DX121" s="124">
        <f>DX118</f>
        <v>0</v>
      </c>
      <c r="DZ121" s="124">
        <f>DZ118</f>
        <v>0</v>
      </c>
      <c r="EA121" s="124">
        <f>EA118</f>
        <v>0</v>
      </c>
      <c r="EC121" s="124">
        <f>EC118</f>
        <v>0</v>
      </c>
      <c r="ED121" s="124">
        <f>ED118</f>
        <v>0</v>
      </c>
      <c r="EF121" s="124">
        <f>EF118</f>
        <v>0</v>
      </c>
      <c r="EG121" s="124">
        <f>EG118</f>
        <v>0</v>
      </c>
      <c r="EI121" s="124">
        <f>EI118</f>
        <v>0</v>
      </c>
      <c r="EK121" s="124">
        <f>EK118</f>
        <v>0</v>
      </c>
      <c r="EM121" s="124">
        <f>EM118</f>
        <v>0</v>
      </c>
      <c r="EN121" s="124">
        <f>EN118</f>
        <v>0</v>
      </c>
      <c r="EP121" s="124">
        <f>EP118</f>
        <v>0</v>
      </c>
      <c r="EQ121" s="124">
        <f>EQ118</f>
        <v>0</v>
      </c>
      <c r="ES121" s="124">
        <f>ES118</f>
        <v>0</v>
      </c>
      <c r="ET121" s="124">
        <f>ET118</f>
        <v>0</v>
      </c>
      <c r="EV121" s="124">
        <f>EV118</f>
        <v>0</v>
      </c>
      <c r="EW121" s="124">
        <f>EW118</f>
        <v>0</v>
      </c>
      <c r="EY121" s="124">
        <f>EY118</f>
        <v>0</v>
      </c>
      <c r="EZ121" s="124">
        <f>EZ118</f>
        <v>0</v>
      </c>
      <c r="FB121" s="124">
        <f>FB118</f>
        <v>0</v>
      </c>
      <c r="FC121" s="124">
        <f>FC118</f>
        <v>0</v>
      </c>
      <c r="FE121" s="124">
        <f>FE118</f>
        <v>0</v>
      </c>
      <c r="FF121" s="124">
        <f>FF118</f>
        <v>0</v>
      </c>
      <c r="FH121" s="124">
        <f>FH118</f>
        <v>0</v>
      </c>
      <c r="FI121" s="124">
        <f>FI118</f>
        <v>0</v>
      </c>
      <c r="FK121" s="124">
        <f>FK118</f>
        <v>0</v>
      </c>
      <c r="FL121" s="124">
        <f>FL118</f>
        <v>0</v>
      </c>
      <c r="FN121" s="124">
        <f>FN118</f>
        <v>0</v>
      </c>
      <c r="FO121" s="124">
        <f>FO118</f>
        <v>0</v>
      </c>
      <c r="FQ121" s="124">
        <v>0</v>
      </c>
      <c r="FR121" s="124">
        <v>0</v>
      </c>
      <c r="FT121" s="124">
        <f>FT118</f>
        <v>0</v>
      </c>
      <c r="FV121" s="124">
        <f>FV118</f>
        <v>0</v>
      </c>
      <c r="FW121" s="235" t="e">
        <f t="shared" si="415"/>
        <v>#DIV/0!</v>
      </c>
    </row>
    <row r="122" spans="1:179" ht="15.75" customHeight="1" thickTop="1">
      <c r="A122" s="1" t="s">
        <v>173</v>
      </c>
      <c r="B122" s="1" t="s">
        <v>142</v>
      </c>
      <c r="C122" s="4" t="s">
        <v>143</v>
      </c>
      <c r="D122" s="43"/>
      <c r="E122" s="34"/>
      <c r="F122" s="43"/>
      <c r="G122" s="34"/>
      <c r="H122" s="46"/>
      <c r="I122" s="36"/>
      <c r="J122" s="14"/>
      <c r="L122" s="118">
        <v>0</v>
      </c>
      <c r="M122" s="17" t="e">
        <f>L122/F122-1</f>
        <v>#DIV/0!</v>
      </c>
      <c r="N122" s="17" t="e">
        <f>L122/I122-1</f>
        <v>#DIV/0!</v>
      </c>
      <c r="Q122" s="118">
        <v>9500</v>
      </c>
      <c r="R122" s="15">
        <v>0</v>
      </c>
      <c r="S122" s="118">
        <v>9500</v>
      </c>
      <c r="T122" s="15">
        <f>S122-Q122</f>
        <v>0</v>
      </c>
      <c r="U122" s="16">
        <f>S122/Q122-1</f>
        <v>0</v>
      </c>
      <c r="V122" s="140">
        <v>9500</v>
      </c>
      <c r="W122">
        <v>9500</v>
      </c>
      <c r="Y122" s="118">
        <v>9500</v>
      </c>
      <c r="AA122" s="118">
        <v>9500</v>
      </c>
      <c r="AB122" s="185">
        <f t="shared" ref="AB122:AB123" si="416">AA122-Y122</f>
        <v>0</v>
      </c>
      <c r="AC122" s="187">
        <f t="shared" ref="AC122:AC127" si="417">AA122-Y122</f>
        <v>0</v>
      </c>
      <c r="AD122" s="187"/>
      <c r="AE122" s="118">
        <v>9500</v>
      </c>
      <c r="AF122" s="182"/>
      <c r="AH122" s="15">
        <v>9500</v>
      </c>
      <c r="AI122" s="17">
        <f t="shared" si="408"/>
        <v>1</v>
      </c>
      <c r="AK122" s="118">
        <v>0</v>
      </c>
      <c r="AS122" s="15">
        <f t="shared" ref="AS122:AS123" si="418">AR122+AK122</f>
        <v>0</v>
      </c>
      <c r="AV122" s="15">
        <f t="shared" ref="AV122:AV123" si="419">AS122+AU122</f>
        <v>0</v>
      </c>
      <c r="AX122" s="15"/>
      <c r="AY122" s="15">
        <f t="shared" ref="AY122:AY123" si="420">AV122+AX122</f>
        <v>0</v>
      </c>
      <c r="BB122" s="15">
        <f t="shared" ref="BB122:BB123" si="421">AY122+BA122</f>
        <v>0</v>
      </c>
      <c r="BD122" s="15"/>
      <c r="BE122" s="15">
        <f t="shared" ref="BE122:BE123" si="422">BB122+BD122</f>
        <v>0</v>
      </c>
      <c r="BG122" s="15"/>
      <c r="BH122" s="15">
        <f t="shared" ref="BH122:BH123" si="423">BE122+BG122</f>
        <v>0</v>
      </c>
      <c r="BM122" s="15"/>
      <c r="BQ122" s="15"/>
      <c r="BR122" s="15"/>
      <c r="BT122" s="15"/>
      <c r="BU122" s="15"/>
      <c r="BW122" s="15"/>
      <c r="BX122" s="15"/>
      <c r="BZ122" s="15"/>
      <c r="CA122" s="15"/>
      <c r="CC122" s="15"/>
      <c r="CD122" s="15"/>
      <c r="CF122" s="15"/>
      <c r="CG122" s="15"/>
      <c r="CI122" s="15"/>
      <c r="CJ122" s="15"/>
      <c r="CM122" s="15"/>
      <c r="CP122" s="15"/>
      <c r="CS122" s="15"/>
      <c r="CV122" s="15"/>
      <c r="CY122" s="15"/>
      <c r="DE122" s="15"/>
      <c r="DF122" s="15">
        <f t="shared" ref="DF122:DF123" si="424">DC122+DE122</f>
        <v>0</v>
      </c>
      <c r="DH122" s="15"/>
      <c r="DI122" s="15">
        <f t="shared" ref="DI122:DI123" si="425">DF122+DH122</f>
        <v>0</v>
      </c>
      <c r="DK122" s="15"/>
      <c r="DL122" s="15">
        <f t="shared" ref="DL122:DL123" si="426">DI122+DK122</f>
        <v>0</v>
      </c>
      <c r="DN122" s="15"/>
      <c r="DO122" s="15">
        <f t="shared" ref="DO122:DO123" si="427">DL122+DN122</f>
        <v>0</v>
      </c>
      <c r="DQ122" s="15"/>
      <c r="DR122" s="15">
        <f t="shared" ref="DR122:DR123" si="428">DO122+DQ122</f>
        <v>0</v>
      </c>
      <c r="DT122" s="15"/>
      <c r="DU122" s="15">
        <f t="shared" ref="DU122:DU123" si="429">DR122+DT122</f>
        <v>0</v>
      </c>
      <c r="DW122" s="15"/>
      <c r="DX122" s="15">
        <f t="shared" ref="DX122:DX123" si="430">DU122+DW122</f>
        <v>0</v>
      </c>
      <c r="DZ122" s="15"/>
      <c r="EA122" s="15">
        <f t="shared" ref="EA122:EA123" si="431">DX122+DZ122</f>
        <v>0</v>
      </c>
      <c r="EC122" s="15"/>
      <c r="ED122" s="15">
        <f t="shared" ref="ED122:ED123" si="432">EA122+EC122</f>
        <v>0</v>
      </c>
      <c r="EF122" s="15"/>
      <c r="EG122" s="15">
        <f t="shared" ref="EG122:EG123" si="433">ED122+EF122</f>
        <v>0</v>
      </c>
      <c r="EK122" s="15"/>
      <c r="EM122" s="15"/>
      <c r="EN122" s="15">
        <f t="shared" ref="EN122:EN123" si="434">EK122+EM122</f>
        <v>0</v>
      </c>
      <c r="EP122" s="15"/>
      <c r="EQ122" s="15">
        <f t="shared" ref="EQ122:EQ123" si="435">EN122+EP122</f>
        <v>0</v>
      </c>
      <c r="ES122" s="15"/>
      <c r="ET122" s="15">
        <f t="shared" ref="ET122:ET123" si="436">EQ122+ES122</f>
        <v>0</v>
      </c>
      <c r="EW122" s="15">
        <f t="shared" ref="EW122:EW123" si="437">ET122+EV122</f>
        <v>0</v>
      </c>
      <c r="EZ122" s="15">
        <f t="shared" ref="EZ122:EZ123" si="438">EW122+EY122</f>
        <v>0</v>
      </c>
      <c r="FC122" s="15">
        <f t="shared" ref="FC122:FC123" si="439">EZ122+FB122</f>
        <v>0</v>
      </c>
      <c r="FF122" s="15">
        <f t="shared" ref="FF122:FF123" si="440">FC122+FE122</f>
        <v>0</v>
      </c>
      <c r="FI122" s="15">
        <f t="shared" ref="FI122:FI123" si="441">FF122+FH122</f>
        <v>0</v>
      </c>
      <c r="FL122" s="15">
        <f t="shared" ref="FL122:FL123" si="442">FI122+FK122</f>
        <v>0</v>
      </c>
      <c r="FO122" s="15">
        <f t="shared" ref="FO122:FO123" si="443">FL122+FN122</f>
        <v>0</v>
      </c>
      <c r="FR122" s="15">
        <v>0</v>
      </c>
    </row>
    <row r="123" spans="1:179" ht="15.75" customHeight="1">
      <c r="A123" s="1" t="s">
        <v>173</v>
      </c>
      <c r="B123" s="1" t="s">
        <v>113</v>
      </c>
      <c r="C123" s="4" t="s">
        <v>114</v>
      </c>
      <c r="D123" s="43"/>
      <c r="E123" s="34"/>
      <c r="F123" s="43"/>
      <c r="G123" s="34"/>
      <c r="H123" s="46"/>
      <c r="I123" s="36"/>
      <c r="J123" s="14"/>
      <c r="M123" s="17"/>
      <c r="N123" s="17"/>
      <c r="U123" s="16"/>
      <c r="Y123" s="118"/>
      <c r="AA123" s="118">
        <v>9500</v>
      </c>
      <c r="AB123" s="185">
        <f t="shared" si="416"/>
        <v>9500</v>
      </c>
      <c r="AC123" s="187">
        <f t="shared" si="417"/>
        <v>9500</v>
      </c>
      <c r="AD123" s="187"/>
      <c r="AE123" s="118">
        <v>9500</v>
      </c>
      <c r="AF123" s="182"/>
      <c r="AH123" s="15">
        <v>0</v>
      </c>
      <c r="AI123" s="17">
        <f t="shared" si="408"/>
        <v>0</v>
      </c>
      <c r="AK123" s="118">
        <v>9500</v>
      </c>
      <c r="AS123" s="15">
        <f t="shared" si="418"/>
        <v>9500</v>
      </c>
      <c r="AU123" s="15">
        <v>33300</v>
      </c>
      <c r="AV123" s="15">
        <f t="shared" si="419"/>
        <v>42800</v>
      </c>
      <c r="AX123" s="15"/>
      <c r="AY123" s="15">
        <f t="shared" si="420"/>
        <v>42800</v>
      </c>
      <c r="BB123" s="15">
        <f t="shared" si="421"/>
        <v>42800</v>
      </c>
      <c r="BD123" s="15"/>
      <c r="BE123" s="15">
        <f t="shared" si="422"/>
        <v>42800</v>
      </c>
      <c r="BG123" s="15"/>
      <c r="BH123" s="15">
        <f t="shared" si="423"/>
        <v>42800</v>
      </c>
      <c r="BJ123" s="15">
        <v>42768.9</v>
      </c>
      <c r="BK123" s="235">
        <f t="shared" ref="BK123" si="444">BJ123/BH123</f>
        <v>0.99927336448598136</v>
      </c>
      <c r="BM123" s="15">
        <v>10000</v>
      </c>
      <c r="BN123" s="235">
        <f t="shared" ref="BN123" si="445">BM123/BJ123</f>
        <v>0.23381475791989037</v>
      </c>
      <c r="BO123" s="235">
        <f t="shared" ref="BO123" si="446">BM123/BH123</f>
        <v>0.23364485981308411</v>
      </c>
      <c r="BQ123" s="15"/>
      <c r="BR123" s="15">
        <f>BM123+BQ123</f>
        <v>10000</v>
      </c>
      <c r="BT123" s="15"/>
      <c r="BU123" s="15">
        <f>BR123+BT123</f>
        <v>10000</v>
      </c>
      <c r="BW123" s="15"/>
      <c r="BX123" s="15">
        <f>BU123+BW123</f>
        <v>10000</v>
      </c>
      <c r="BZ123" s="15"/>
      <c r="CA123" s="15">
        <f>BX123+BZ123</f>
        <v>10000</v>
      </c>
      <c r="CC123" s="15"/>
      <c r="CD123" s="15">
        <f>CA123+CC123</f>
        <v>10000</v>
      </c>
      <c r="CF123" s="15"/>
      <c r="CG123" s="15">
        <f>CD123+CF123</f>
        <v>10000</v>
      </c>
      <c r="CI123" s="15"/>
      <c r="CJ123" s="15">
        <f>CG123+CI123</f>
        <v>10000</v>
      </c>
      <c r="CM123" s="15">
        <f>CJ123+CL123</f>
        <v>10000</v>
      </c>
      <c r="CO123" s="15">
        <v>-5000</v>
      </c>
      <c r="CP123" s="15">
        <f>CM123+CO123</f>
        <v>5000</v>
      </c>
      <c r="CS123" s="15">
        <f>CP123+CR123</f>
        <v>5000</v>
      </c>
      <c r="CU123" s="227">
        <v>-5000</v>
      </c>
      <c r="CV123" s="15">
        <f>CS123+CU123</f>
        <v>0</v>
      </c>
      <c r="CX123" s="227"/>
      <c r="CY123" s="15">
        <f>CV123+CX123</f>
        <v>0</v>
      </c>
      <c r="DA123" s="15">
        <v>0</v>
      </c>
      <c r="DE123" s="15"/>
      <c r="DF123" s="15">
        <f t="shared" si="424"/>
        <v>0</v>
      </c>
      <c r="DH123" s="15"/>
      <c r="DI123" s="15">
        <f t="shared" si="425"/>
        <v>0</v>
      </c>
      <c r="DK123" s="15"/>
      <c r="DL123" s="15">
        <f t="shared" si="426"/>
        <v>0</v>
      </c>
      <c r="DN123" s="15"/>
      <c r="DO123" s="15">
        <f t="shared" si="427"/>
        <v>0</v>
      </c>
      <c r="DQ123" s="15"/>
      <c r="DR123" s="15">
        <f t="shared" si="428"/>
        <v>0</v>
      </c>
      <c r="DT123" s="15"/>
      <c r="DU123" s="15">
        <f t="shared" si="429"/>
        <v>0</v>
      </c>
      <c r="DW123" s="15"/>
      <c r="DX123" s="15">
        <f t="shared" si="430"/>
        <v>0</v>
      </c>
      <c r="DZ123" s="15"/>
      <c r="EA123" s="15">
        <f t="shared" si="431"/>
        <v>0</v>
      </c>
      <c r="EC123" s="15"/>
      <c r="ED123" s="15">
        <f t="shared" si="432"/>
        <v>0</v>
      </c>
      <c r="EF123" s="15"/>
      <c r="EG123" s="15">
        <f t="shared" si="433"/>
        <v>0</v>
      </c>
      <c r="EK123" s="15"/>
      <c r="EM123" s="15"/>
      <c r="EN123" s="15">
        <f t="shared" si="434"/>
        <v>0</v>
      </c>
      <c r="EP123" s="15"/>
      <c r="EQ123" s="15">
        <f t="shared" si="435"/>
        <v>0</v>
      </c>
      <c r="ES123" s="15"/>
      <c r="ET123" s="15">
        <f t="shared" si="436"/>
        <v>0</v>
      </c>
      <c r="EW123" s="15">
        <f t="shared" si="437"/>
        <v>0</v>
      </c>
      <c r="EZ123" s="15">
        <f t="shared" si="438"/>
        <v>0</v>
      </c>
      <c r="FC123" s="15">
        <f t="shared" si="439"/>
        <v>0</v>
      </c>
      <c r="FF123" s="15">
        <f t="shared" si="440"/>
        <v>0</v>
      </c>
      <c r="FI123" s="15">
        <f t="shared" si="441"/>
        <v>0</v>
      </c>
      <c r="FL123" s="15">
        <f t="shared" si="442"/>
        <v>0</v>
      </c>
      <c r="FO123" s="15">
        <f t="shared" si="443"/>
        <v>0</v>
      </c>
      <c r="FR123" s="15">
        <v>0</v>
      </c>
    </row>
    <row r="124" spans="1:179" outlineLevel="2">
      <c r="A124" s="1" t="s">
        <v>173</v>
      </c>
      <c r="B124" s="1" t="s">
        <v>146</v>
      </c>
      <c r="C124" s="4" t="s">
        <v>147</v>
      </c>
      <c r="D124" s="43">
        <v>50000</v>
      </c>
      <c r="E124" s="34">
        <v>0</v>
      </c>
      <c r="F124" s="43">
        <v>50000</v>
      </c>
      <c r="G124" s="34">
        <v>0</v>
      </c>
      <c r="H124" s="46">
        <v>0</v>
      </c>
      <c r="I124" s="36">
        <v>0</v>
      </c>
      <c r="J124" s="14"/>
      <c r="M124" s="17">
        <f t="shared" si="405"/>
        <v>-1</v>
      </c>
      <c r="N124" s="17" t="e">
        <f t="shared" si="406"/>
        <v>#DIV/0!</v>
      </c>
      <c r="Y124" s="118"/>
      <c r="AC124" s="187"/>
      <c r="AD124" s="187"/>
      <c r="AF124" s="182"/>
      <c r="AH124" s="15"/>
      <c r="AX124" s="15"/>
      <c r="BD124" s="15"/>
      <c r="BG124" s="15"/>
      <c r="CL124" s="15">
        <v>1000</v>
      </c>
      <c r="CM124" s="15">
        <f>CJ124+CL124</f>
        <v>1000</v>
      </c>
      <c r="CP124" s="15">
        <f>CM124+CO124</f>
        <v>1000</v>
      </c>
      <c r="CS124" s="15">
        <f>CP124+CR124</f>
        <v>1000</v>
      </c>
      <c r="CV124" s="15">
        <f>CS124+CU124</f>
        <v>1000</v>
      </c>
      <c r="CY124" s="15">
        <f>CV124+CX124</f>
        <v>1000</v>
      </c>
      <c r="DA124" s="15">
        <v>999</v>
      </c>
      <c r="DE124" s="15"/>
      <c r="DH124" s="15"/>
      <c r="DK124" s="15"/>
      <c r="DN124" s="15"/>
      <c r="DQ124" s="15"/>
      <c r="DT124" s="15"/>
      <c r="DW124" s="15"/>
      <c r="DZ124" s="15"/>
      <c r="EC124" s="15"/>
      <c r="EF124" s="15"/>
      <c r="EK124" s="15"/>
      <c r="EM124" s="15"/>
      <c r="EP124" s="15"/>
      <c r="ES124" s="15"/>
    </row>
    <row r="125" spans="1:179" outlineLevel="2">
      <c r="A125" s="1" t="s">
        <v>173</v>
      </c>
      <c r="B125" s="1" t="s">
        <v>115</v>
      </c>
      <c r="C125" s="4" t="s">
        <v>116</v>
      </c>
      <c r="D125" s="43">
        <v>7000</v>
      </c>
      <c r="E125" s="34">
        <v>0</v>
      </c>
      <c r="F125" s="43">
        <v>7000</v>
      </c>
      <c r="G125" s="34">
        <v>0</v>
      </c>
      <c r="H125" s="46">
        <v>0</v>
      </c>
      <c r="I125" s="36">
        <v>0</v>
      </c>
      <c r="J125" s="14"/>
      <c r="M125" s="17">
        <f t="shared" si="405"/>
        <v>-1</v>
      </c>
      <c r="N125" s="17" t="e">
        <f t="shared" si="406"/>
        <v>#DIV/0!</v>
      </c>
      <c r="Y125" s="118"/>
      <c r="AC125" s="187"/>
      <c r="AD125" s="187"/>
      <c r="AF125" s="182"/>
      <c r="AH125" s="15"/>
      <c r="AX125" s="15"/>
      <c r="BD125" s="15">
        <v>75000</v>
      </c>
      <c r="BE125" s="15">
        <f t="shared" ref="BE125:BE126" si="447">BB125+BD125</f>
        <v>75000</v>
      </c>
      <c r="BG125" s="15"/>
      <c r="BH125" s="15">
        <f t="shared" ref="BH125:BH126" si="448">BE125+BG125</f>
        <v>75000</v>
      </c>
      <c r="BJ125" s="15">
        <v>72600</v>
      </c>
      <c r="BK125" s="235">
        <f t="shared" ref="BK125:BK126" si="449">BJ125/BH125</f>
        <v>0.96799999999999997</v>
      </c>
      <c r="BM125" s="15">
        <v>20000</v>
      </c>
      <c r="BN125" s="235">
        <f t="shared" ref="BN125:BN126" si="450">BM125/BJ125</f>
        <v>0.27548209366391185</v>
      </c>
      <c r="BO125" s="235">
        <f t="shared" ref="BO125:BO126" si="451">BM125/BH125</f>
        <v>0.26666666666666666</v>
      </c>
      <c r="BQ125" s="15"/>
      <c r="BR125" s="15">
        <f t="shared" ref="BR125:BR127" si="452">BM125+BQ125</f>
        <v>20000</v>
      </c>
      <c r="BT125" s="15"/>
      <c r="BU125" s="15">
        <f>BR125+BT125</f>
        <v>20000</v>
      </c>
      <c r="BW125" s="15"/>
      <c r="BX125" s="15">
        <f>BU125+BW125</f>
        <v>20000</v>
      </c>
      <c r="BZ125" s="15"/>
      <c r="CA125" s="15">
        <f>BX125+BZ125</f>
        <v>20000</v>
      </c>
      <c r="CC125" s="15"/>
      <c r="CD125" s="15">
        <f>CA125+CC125</f>
        <v>20000</v>
      </c>
      <c r="CF125" s="15"/>
      <c r="CG125" s="15">
        <f>CD125+CF125</f>
        <v>20000</v>
      </c>
      <c r="CI125" s="15"/>
      <c r="CJ125" s="15">
        <f>CG125+CI125</f>
        <v>20000</v>
      </c>
      <c r="CM125" s="15">
        <f>CJ125+CL125</f>
        <v>20000</v>
      </c>
      <c r="CO125" s="15">
        <v>-20000</v>
      </c>
      <c r="CP125" s="15">
        <f>CM125+CO125</f>
        <v>0</v>
      </c>
      <c r="CS125" s="15">
        <f>CP125+CR125</f>
        <v>0</v>
      </c>
      <c r="CV125" s="15">
        <f>CS125+CU125</f>
        <v>0</v>
      </c>
      <c r="CY125" s="15">
        <f>CV125+CX125</f>
        <v>0</v>
      </c>
      <c r="DC125" s="15">
        <f>(66000+8000+18000+12000+0.02*DC127)*1.21+160</f>
        <v>126000</v>
      </c>
      <c r="DE125" s="15"/>
      <c r="DF125" s="15">
        <f t="shared" ref="DF125:DF126" si="453">DC125+DE125</f>
        <v>126000</v>
      </c>
      <c r="DH125" s="15"/>
      <c r="DI125" s="15">
        <f t="shared" ref="DI125:DI126" si="454">DF125+DH125</f>
        <v>126000</v>
      </c>
      <c r="DK125" s="15"/>
      <c r="DL125" s="15">
        <f t="shared" ref="DL125:DL126" si="455">DI125+DK125</f>
        <v>126000</v>
      </c>
      <c r="DN125" s="15"/>
      <c r="DO125" s="15">
        <f t="shared" ref="DO125:DO126" si="456">DL125+DN125</f>
        <v>126000</v>
      </c>
      <c r="DQ125" s="15"/>
      <c r="DR125" s="15">
        <f t="shared" ref="DR125:DR126" si="457">DO125+DQ125</f>
        <v>126000</v>
      </c>
      <c r="DT125" s="15"/>
      <c r="DU125" s="15">
        <f t="shared" ref="DU125:DU126" si="458">DR125+DT125</f>
        <v>126000</v>
      </c>
      <c r="DW125" s="15"/>
      <c r="DX125" s="15">
        <f t="shared" ref="DX125:DX126" si="459">DU125+DW125</f>
        <v>126000</v>
      </c>
      <c r="DZ125" s="15"/>
      <c r="EA125" s="15">
        <f t="shared" ref="EA125:EA126" si="460">DX125+DZ125</f>
        <v>126000</v>
      </c>
      <c r="EC125" s="227">
        <v>-24000</v>
      </c>
      <c r="ED125" s="15">
        <f t="shared" ref="ED125:ED126" si="461">EA125+EC125</f>
        <v>102000</v>
      </c>
      <c r="EF125" s="15"/>
      <c r="EG125" s="15">
        <f t="shared" ref="EG125:EG126" si="462">ED125+EF125</f>
        <v>102000</v>
      </c>
      <c r="EI125" s="15">
        <v>101640</v>
      </c>
      <c r="EK125" s="15"/>
      <c r="EM125" s="15"/>
      <c r="EN125" s="15">
        <f t="shared" ref="EN125:EN126" si="463">EK125+EM125</f>
        <v>0</v>
      </c>
      <c r="EP125" s="15"/>
      <c r="EQ125" s="15">
        <f t="shared" ref="EQ125:EQ126" si="464">EN125+EP125</f>
        <v>0</v>
      </c>
      <c r="ES125" s="15"/>
      <c r="ET125" s="15">
        <f t="shared" ref="ET125:ET126" si="465">EQ125+ES125</f>
        <v>0</v>
      </c>
      <c r="EW125" s="15">
        <f t="shared" ref="EW125:EW126" si="466">ET125+EV125</f>
        <v>0</v>
      </c>
      <c r="EZ125" s="15">
        <f t="shared" ref="EZ125:EZ126" si="467">EW125+EY125</f>
        <v>0</v>
      </c>
      <c r="FC125" s="15">
        <f t="shared" ref="FC125:FC126" si="468">EZ125+FB125</f>
        <v>0</v>
      </c>
      <c r="FF125" s="15">
        <f t="shared" ref="FF125:FF126" si="469">FC125+FE125</f>
        <v>0</v>
      </c>
      <c r="FI125" s="15">
        <f t="shared" ref="FI125:FI126" si="470">FF125+FH125</f>
        <v>0</v>
      </c>
      <c r="FL125" s="15">
        <f t="shared" ref="FL125:FL126" si="471">FI125+FK125</f>
        <v>0</v>
      </c>
      <c r="FO125" s="15">
        <f t="shared" ref="FO125:FO126" si="472">FL125+FN125</f>
        <v>0</v>
      </c>
      <c r="FR125" s="15">
        <v>0</v>
      </c>
    </row>
    <row r="126" spans="1:179" outlineLevel="2">
      <c r="A126" s="1" t="s">
        <v>173</v>
      </c>
      <c r="B126" s="1" t="s">
        <v>117</v>
      </c>
      <c r="C126" s="4" t="s">
        <v>118</v>
      </c>
      <c r="D126" s="43">
        <v>398000</v>
      </c>
      <c r="E126" s="34">
        <v>2.4500000000000002</v>
      </c>
      <c r="F126" s="43">
        <v>398000</v>
      </c>
      <c r="G126" s="34">
        <v>2.4500000000000002</v>
      </c>
      <c r="H126" s="46">
        <v>9765</v>
      </c>
      <c r="I126" s="36">
        <v>9765</v>
      </c>
      <c r="J126" s="14"/>
      <c r="L126" s="118">
        <f>'[1]2020'!$Q$23+'[1]2020'!$Q$41+'[1]2020'!$Q$42</f>
        <v>330000</v>
      </c>
      <c r="M126" s="17">
        <f t="shared" si="405"/>
        <v>-0.17085427135678388</v>
      </c>
      <c r="N126" s="17">
        <f t="shared" si="406"/>
        <v>32.794162826420894</v>
      </c>
      <c r="Q126" s="118">
        <v>674000</v>
      </c>
      <c r="R126" s="15">
        <v>550715</v>
      </c>
      <c r="S126" s="158">
        <v>740000</v>
      </c>
      <c r="T126" s="15">
        <f>S126-Q126</f>
        <v>66000</v>
      </c>
      <c r="U126" s="16">
        <f>S126/Q126-1</f>
        <v>9.7922848664688367E-2</v>
      </c>
      <c r="V126" s="140">
        <v>310000</v>
      </c>
      <c r="X126">
        <v>-20000</v>
      </c>
      <c r="Y126" s="118">
        <v>740000</v>
      </c>
      <c r="AA126" s="118">
        <v>740000</v>
      </c>
      <c r="AB126" s="185">
        <f t="shared" ref="AB126:AB127" si="473">AA126-Y126</f>
        <v>0</v>
      </c>
      <c r="AC126" s="187">
        <f t="shared" si="417"/>
        <v>0</v>
      </c>
      <c r="AD126" s="187"/>
      <c r="AE126" s="118">
        <v>740000</v>
      </c>
      <c r="AF126" s="182"/>
      <c r="AH126" s="15">
        <v>716318.59</v>
      </c>
      <c r="AI126" s="17">
        <f t="shared" ref="AI126:AI127" si="474">AH126/AE126</f>
        <v>0.96799809459459452</v>
      </c>
      <c r="AK126" s="183">
        <f>(28000+30000)*1.21+35000+320+4500</f>
        <v>110000</v>
      </c>
      <c r="AS126" s="15">
        <f t="shared" ref="AS126:AS127" si="475">AR126+AK126</f>
        <v>110000</v>
      </c>
      <c r="AV126" s="15">
        <f t="shared" ref="AV126" si="476">AS126+AU126</f>
        <v>110000</v>
      </c>
      <c r="AX126" s="15"/>
      <c r="AY126" s="15">
        <f t="shared" ref="AY126" si="477">AV126+AX126</f>
        <v>110000</v>
      </c>
      <c r="BB126" s="15">
        <f t="shared" ref="BB126" si="478">AY126+BA126</f>
        <v>110000</v>
      </c>
      <c r="BD126" s="15">
        <v>-20000</v>
      </c>
      <c r="BE126" s="15">
        <f t="shared" si="447"/>
        <v>90000</v>
      </c>
      <c r="BG126" s="15">
        <v>-1500</v>
      </c>
      <c r="BH126" s="15">
        <f t="shared" si="448"/>
        <v>88500</v>
      </c>
      <c r="BJ126" s="15">
        <v>84700</v>
      </c>
      <c r="BK126" s="235">
        <f t="shared" si="449"/>
        <v>0.95706214689265534</v>
      </c>
      <c r="BM126" s="290">
        <v>1720000</v>
      </c>
      <c r="BN126" s="235">
        <f t="shared" si="450"/>
        <v>20.306965761511215</v>
      </c>
      <c r="BO126" s="235">
        <f t="shared" si="451"/>
        <v>19.435028248587571</v>
      </c>
      <c r="BQ126" s="15"/>
      <c r="BR126" s="15">
        <f t="shared" si="452"/>
        <v>1720000</v>
      </c>
      <c r="BT126" s="15"/>
      <c r="BU126" s="15">
        <f>BR126+BT126</f>
        <v>1720000</v>
      </c>
      <c r="BW126" s="15">
        <v>220000</v>
      </c>
      <c r="BX126" s="15">
        <f>BU126+BW126</f>
        <v>1940000</v>
      </c>
      <c r="BZ126" s="15"/>
      <c r="CA126" s="15">
        <f>BX126+BZ126</f>
        <v>1940000</v>
      </c>
      <c r="CC126" s="15"/>
      <c r="CD126" s="15">
        <f>CA126+CC126</f>
        <v>1940000</v>
      </c>
      <c r="CF126" s="15"/>
      <c r="CG126" s="15">
        <f>CD126+CF126</f>
        <v>1940000</v>
      </c>
      <c r="CH126">
        <v>32338.48</v>
      </c>
      <c r="CI126" s="227">
        <v>33000</v>
      </c>
      <c r="CJ126" s="15">
        <f>CG126+CI126</f>
        <v>1973000</v>
      </c>
      <c r="CM126" s="15">
        <f>CJ126+CL126</f>
        <v>1973000</v>
      </c>
      <c r="CP126" s="15">
        <f>CM126+CO126</f>
        <v>1973000</v>
      </c>
      <c r="CS126" s="15">
        <f>CP126+CR126</f>
        <v>1973000</v>
      </c>
      <c r="CU126" s="227">
        <v>8000</v>
      </c>
      <c r="CV126" s="15">
        <f>CS126+CU126</f>
        <v>1981000</v>
      </c>
      <c r="CX126" s="227"/>
      <c r="CY126" s="15">
        <f>CV126+CX126</f>
        <v>1981000</v>
      </c>
      <c r="DA126" s="15">
        <v>1980397.69</v>
      </c>
      <c r="DE126" s="15"/>
      <c r="DF126" s="15">
        <f t="shared" si="453"/>
        <v>0</v>
      </c>
      <c r="DH126" s="15"/>
      <c r="DI126" s="15">
        <f t="shared" si="454"/>
        <v>0</v>
      </c>
      <c r="DK126" s="15"/>
      <c r="DL126" s="15">
        <f t="shared" si="455"/>
        <v>0</v>
      </c>
      <c r="DN126" s="15"/>
      <c r="DO126" s="15">
        <f t="shared" si="456"/>
        <v>0</v>
      </c>
      <c r="DQ126" s="15"/>
      <c r="DR126" s="15">
        <f t="shared" si="457"/>
        <v>0</v>
      </c>
      <c r="DT126" s="15"/>
      <c r="DU126" s="15">
        <f t="shared" si="458"/>
        <v>0</v>
      </c>
      <c r="DW126" s="15"/>
      <c r="DX126" s="15">
        <f t="shared" si="459"/>
        <v>0</v>
      </c>
      <c r="DZ126" s="15"/>
      <c r="EA126" s="15">
        <f t="shared" si="460"/>
        <v>0</v>
      </c>
      <c r="EC126" s="15"/>
      <c r="ED126" s="15">
        <f t="shared" si="461"/>
        <v>0</v>
      </c>
      <c r="EF126" s="15"/>
      <c r="EG126" s="15">
        <f t="shared" si="462"/>
        <v>0</v>
      </c>
      <c r="EK126" s="15">
        <v>10000</v>
      </c>
      <c r="EM126" s="15"/>
      <c r="EN126" s="15">
        <f t="shared" si="463"/>
        <v>10000</v>
      </c>
      <c r="EP126" s="15"/>
      <c r="EQ126" s="15">
        <f t="shared" si="464"/>
        <v>10000</v>
      </c>
      <c r="ES126" s="15"/>
      <c r="ET126" s="15">
        <f t="shared" si="465"/>
        <v>10000</v>
      </c>
      <c r="EW126" s="15">
        <f t="shared" si="466"/>
        <v>10000</v>
      </c>
      <c r="EZ126" s="15">
        <f t="shared" si="467"/>
        <v>10000</v>
      </c>
      <c r="FC126" s="15">
        <f t="shared" si="468"/>
        <v>10000</v>
      </c>
      <c r="FF126" s="15">
        <f t="shared" si="469"/>
        <v>10000</v>
      </c>
      <c r="FI126" s="15">
        <f t="shared" si="470"/>
        <v>10000</v>
      </c>
      <c r="FL126" s="15">
        <f t="shared" si="471"/>
        <v>10000</v>
      </c>
      <c r="FO126" s="15">
        <f t="shared" si="472"/>
        <v>10000</v>
      </c>
      <c r="FR126" s="15">
        <v>10000</v>
      </c>
      <c r="FT126" s="15">
        <v>0</v>
      </c>
      <c r="FV126" s="227">
        <v>50000</v>
      </c>
      <c r="FW126" s="235" t="e">
        <f t="shared" ref="FW126" si="479">FV126/FT126</f>
        <v>#DIV/0!</v>
      </c>
    </row>
    <row r="127" spans="1:179" outlineLevel="2">
      <c r="A127" s="1" t="s">
        <v>173</v>
      </c>
      <c r="B127" s="1" t="s">
        <v>208</v>
      </c>
      <c r="C127" s="4" t="s">
        <v>327</v>
      </c>
      <c r="D127" s="43"/>
      <c r="E127" s="34"/>
      <c r="F127" s="43"/>
      <c r="G127" s="34"/>
      <c r="H127" s="46"/>
      <c r="I127" s="36"/>
      <c r="J127" s="14"/>
      <c r="L127" s="118">
        <f>'[1]2020'!$Q$13+'[1]2020'!$Q$14</f>
        <v>500000</v>
      </c>
      <c r="M127" s="17" t="e">
        <f t="shared" si="405"/>
        <v>#DIV/0!</v>
      </c>
      <c r="N127" s="17" t="e">
        <f t="shared" si="406"/>
        <v>#DIV/0!</v>
      </c>
      <c r="Q127" s="118">
        <v>177000</v>
      </c>
      <c r="R127" s="15">
        <v>175690</v>
      </c>
      <c r="S127" s="118">
        <v>201000</v>
      </c>
      <c r="T127" s="15">
        <f>S127-Q127</f>
        <v>24000</v>
      </c>
      <c r="U127" s="16">
        <f>S127/Q127-1</f>
        <v>0.13559322033898313</v>
      </c>
      <c r="V127" s="140">
        <v>477000</v>
      </c>
      <c r="W127">
        <v>-23000</v>
      </c>
      <c r="Y127" s="118">
        <v>201000</v>
      </c>
      <c r="AA127" s="118">
        <v>218000</v>
      </c>
      <c r="AB127" s="185">
        <f t="shared" si="473"/>
        <v>17000</v>
      </c>
      <c r="AC127" s="187">
        <f t="shared" si="417"/>
        <v>17000</v>
      </c>
      <c r="AD127" s="187"/>
      <c r="AE127" s="118">
        <v>218000</v>
      </c>
      <c r="AF127" s="182"/>
      <c r="AH127" s="15">
        <v>216547.72</v>
      </c>
      <c r="AI127" s="17">
        <f t="shared" si="474"/>
        <v>0.99333816513761464</v>
      </c>
      <c r="AK127" s="183">
        <v>0</v>
      </c>
      <c r="AS127" s="15">
        <f t="shared" si="475"/>
        <v>0</v>
      </c>
      <c r="AX127" s="15"/>
      <c r="BD127" s="15"/>
      <c r="BG127" s="15"/>
      <c r="BM127" s="290">
        <v>315000</v>
      </c>
      <c r="BQ127" s="15"/>
      <c r="BR127" s="15">
        <f t="shared" si="452"/>
        <v>315000</v>
      </c>
      <c r="BT127" s="15"/>
      <c r="BU127" s="15">
        <f>BR127+BT127</f>
        <v>315000</v>
      </c>
      <c r="BW127" s="15"/>
      <c r="BX127" s="15">
        <f>BU127+BW127</f>
        <v>315000</v>
      </c>
      <c r="BZ127" s="15"/>
      <c r="CA127" s="15">
        <f>BX127+BZ127</f>
        <v>315000</v>
      </c>
      <c r="CC127" s="15"/>
      <c r="CD127" s="15">
        <f>CA127+CC127</f>
        <v>315000</v>
      </c>
      <c r="CF127" s="15"/>
      <c r="CG127" s="15">
        <f>CD127+CF127</f>
        <v>315000</v>
      </c>
      <c r="CI127" s="15"/>
      <c r="CJ127" s="15">
        <f>CG127+CI127</f>
        <v>315000</v>
      </c>
      <c r="CL127" s="15">
        <v>48300</v>
      </c>
      <c r="CM127" s="15">
        <f>CJ127+CL127</f>
        <v>363300</v>
      </c>
      <c r="CN127">
        <v>48300</v>
      </c>
      <c r="CP127" s="15">
        <f>CM127+CO127</f>
        <v>363300</v>
      </c>
      <c r="CS127" s="15">
        <f>CP127+CR127</f>
        <v>363300</v>
      </c>
      <c r="CU127" s="227">
        <v>21500</v>
      </c>
      <c r="CV127" s="15">
        <f>CS127+CU127</f>
        <v>384800</v>
      </c>
      <c r="CX127" s="227"/>
      <c r="CY127" s="15">
        <f>CV127+CX127</f>
        <v>384800</v>
      </c>
      <c r="DA127" s="15">
        <v>384506</v>
      </c>
      <c r="DD127" s="15">
        <v>1800000</v>
      </c>
      <c r="DE127" s="15"/>
      <c r="DH127" s="15"/>
      <c r="DK127" s="15"/>
      <c r="DN127" s="15"/>
      <c r="DQ127" s="15"/>
      <c r="DT127" s="15"/>
      <c r="DW127" s="15"/>
      <c r="DZ127" s="15"/>
      <c r="EC127" s="15"/>
      <c r="EF127" s="15"/>
      <c r="EK127" s="15"/>
      <c r="EM127" s="15"/>
      <c r="EP127" s="15"/>
      <c r="ES127" s="15"/>
    </row>
    <row r="128" spans="1:179" outlineLevel="2">
      <c r="A128" s="1" t="s">
        <v>173</v>
      </c>
      <c r="B128" s="4" t="s">
        <v>46</v>
      </c>
      <c r="C128" s="4" t="s">
        <v>174</v>
      </c>
      <c r="D128" s="43">
        <v>455000</v>
      </c>
      <c r="E128" s="34">
        <v>2.15</v>
      </c>
      <c r="F128" s="43">
        <v>455000</v>
      </c>
      <c r="G128" s="34">
        <v>2.15</v>
      </c>
      <c r="H128" s="46">
        <v>9765</v>
      </c>
      <c r="I128" s="36"/>
      <c r="J128" s="14"/>
      <c r="Y128" s="118"/>
      <c r="AF128" s="182"/>
      <c r="AH128" s="15"/>
      <c r="AX128" s="15"/>
      <c r="BD128" s="15"/>
      <c r="BG128" s="15"/>
      <c r="DE128" s="15"/>
      <c r="DH128" s="15"/>
      <c r="DK128" s="15"/>
      <c r="DN128" s="15"/>
      <c r="DQ128" s="15"/>
      <c r="DT128" s="15"/>
      <c r="DW128" s="15"/>
      <c r="DZ128" s="15"/>
      <c r="EC128" s="15"/>
      <c r="EF128" s="15"/>
      <c r="EK128" s="15"/>
      <c r="EM128" s="15"/>
      <c r="EP128" s="15"/>
      <c r="ES128" s="15"/>
    </row>
    <row r="129" spans="1:181" ht="17.25" customHeight="1" thickBot="1">
      <c r="A129" s="54" t="s">
        <v>173</v>
      </c>
      <c r="B129" s="55" t="s">
        <v>316</v>
      </c>
      <c r="C129" s="283" t="s">
        <v>336</v>
      </c>
      <c r="D129" s="57">
        <f>SUM(D124:D126)</f>
        <v>455000</v>
      </c>
      <c r="E129" s="58"/>
      <c r="F129" s="57">
        <f>SUM(F124:F126)</f>
        <v>455000</v>
      </c>
      <c r="G129" s="58"/>
      <c r="H129" s="57"/>
      <c r="I129" s="57">
        <f>SUM(I124:I126)</f>
        <v>9765</v>
      </c>
      <c r="J129" s="138" t="e">
        <f>I129/$I$332</f>
        <v>#REF!</v>
      </c>
      <c r="K129" s="60"/>
      <c r="L129" s="122">
        <f>SUM(L122:L126)</f>
        <v>330000</v>
      </c>
      <c r="M129" s="61">
        <f t="shared" ref="M129:M136" si="480">L129/F129-1</f>
        <v>-0.27472527472527475</v>
      </c>
      <c r="N129" s="61">
        <f t="shared" ref="N129:N136" si="481">L129/I129-1</f>
        <v>32.794162826420894</v>
      </c>
      <c r="O129" s="17">
        <f>L129/$L$332</f>
        <v>7.6566126711204205E-2</v>
      </c>
      <c r="P129" s="17"/>
      <c r="Q129" s="122">
        <f>SUM(Q122:Q126)</f>
        <v>683500</v>
      </c>
      <c r="R129" s="122">
        <f>SUM(R122:R126)</f>
        <v>550715</v>
      </c>
      <c r="S129" s="122">
        <f>SUM(S122:S126)</f>
        <v>749500</v>
      </c>
      <c r="T129" s="122">
        <f>SUM(T122:T126)</f>
        <v>66000</v>
      </c>
      <c r="U129" s="155">
        <f t="shared" ref="U129:U136" si="482">S129/Q129-1</f>
        <v>9.6561814191660655E-2</v>
      </c>
      <c r="Y129" s="122">
        <f>SUM(Y122:Y126)</f>
        <v>749500</v>
      </c>
      <c r="AA129" s="122">
        <f>SUM(AA122:AA126)</f>
        <v>759000</v>
      </c>
      <c r="AB129" s="122">
        <f>SUM(AB122:AB126)</f>
        <v>9500</v>
      </c>
      <c r="AE129" s="122">
        <f>SUM(AE122:AE126)</f>
        <v>759000</v>
      </c>
      <c r="AF129" s="182"/>
      <c r="AH129" s="122">
        <f>SUM(AH122:AH126)</f>
        <v>725818.59</v>
      </c>
      <c r="AI129" s="17">
        <f t="shared" ref="AI129:AI132" si="483">AH129/AE129</f>
        <v>0.95628272727272723</v>
      </c>
      <c r="AK129" s="122">
        <f>SUM(AK122:AK126)</f>
        <v>119500</v>
      </c>
      <c r="AL129" s="193">
        <f t="shared" ref="AL129:AL131" si="484">AK129/L129</f>
        <v>0.36212121212121212</v>
      </c>
      <c r="AM129" s="17">
        <f t="shared" ref="AM129:AM131" si="485">AK129/AE129</f>
        <v>0.15744400527009222</v>
      </c>
      <c r="AN129" s="17">
        <f t="shared" ref="AN129:AN131" si="486">AK129/AH129</f>
        <v>0.16464169097680456</v>
      </c>
      <c r="AS129" s="122">
        <f>SUM(AS122:AS126)</f>
        <v>119500</v>
      </c>
      <c r="AU129" s="122">
        <f>SUM(AU122:AU126)</f>
        <v>33300</v>
      </c>
      <c r="AV129" s="122">
        <f>SUM(AV122:AV126)</f>
        <v>152800</v>
      </c>
      <c r="AX129" s="122">
        <f>SUM(AX122:AX126)</f>
        <v>0</v>
      </c>
      <c r="AY129" s="122">
        <f>SUM(AY122:AY126)</f>
        <v>152800</v>
      </c>
      <c r="BA129" s="122">
        <f>SUM(BA122:BA126)</f>
        <v>0</v>
      </c>
      <c r="BB129" s="122">
        <f>SUM(BB122:BB126)</f>
        <v>152800</v>
      </c>
      <c r="BD129" s="122">
        <f>SUM(BD122:BD126)</f>
        <v>55000</v>
      </c>
      <c r="BE129" s="122">
        <f>SUM(BE122:BE126)</f>
        <v>207800</v>
      </c>
      <c r="BG129" s="122">
        <f>SUM(BG122:BG126)</f>
        <v>-1500</v>
      </c>
      <c r="BH129" s="122">
        <f>SUM(BH122:BH126)</f>
        <v>206300</v>
      </c>
      <c r="BJ129" s="122">
        <f>SUM(BJ122:BJ126)</f>
        <v>200068.9</v>
      </c>
      <c r="BK129" s="236">
        <f t="shared" ref="BK129:BK131" si="487">BJ129/BH129</f>
        <v>0.96979592825981575</v>
      </c>
      <c r="BM129" s="122">
        <f>SUM(BM122:BM126)</f>
        <v>1750000</v>
      </c>
      <c r="BN129" s="236">
        <f t="shared" ref="BN129:BN131" si="488">BM129/BJ129</f>
        <v>8.7469866630945639</v>
      </c>
      <c r="BO129" s="236">
        <f t="shared" ref="BO129:BO131" si="489">BM129/BH129</f>
        <v>8.4827920504120211</v>
      </c>
      <c r="BQ129" s="122">
        <f>SUM(BQ122:BQ126)</f>
        <v>0</v>
      </c>
      <c r="BR129" s="122">
        <f>SUM(BR122:BR126)</f>
        <v>1750000</v>
      </c>
      <c r="BT129" s="122">
        <f>SUM(BT122:BT126)</f>
        <v>0</v>
      </c>
      <c r="BU129" s="122">
        <f>SUM(BU122:BU126)</f>
        <v>1750000</v>
      </c>
      <c r="BW129" s="122">
        <f>SUM(BW122:BW126)</f>
        <v>220000</v>
      </c>
      <c r="BX129" s="122">
        <f>SUM(BX122:BX126)</f>
        <v>1970000</v>
      </c>
      <c r="BZ129" s="122">
        <f>SUM(BZ122:BZ126)</f>
        <v>0</v>
      </c>
      <c r="CA129" s="122">
        <f>SUM(CA122:CA126)</f>
        <v>1970000</v>
      </c>
      <c r="CC129" s="122">
        <f>SUM(CC122:CC126)</f>
        <v>0</v>
      </c>
      <c r="CD129" s="122">
        <f>SUM(CD122:CD126)</f>
        <v>1970000</v>
      </c>
      <c r="CF129" s="122">
        <f>SUM(CF122:CF126)</f>
        <v>0</v>
      </c>
      <c r="CG129" s="122">
        <f>SUM(CG122:CG126)</f>
        <v>1970000</v>
      </c>
      <c r="CI129" s="122">
        <f>SUM(CI122:CI126)</f>
        <v>33000</v>
      </c>
      <c r="CJ129" s="122">
        <f>SUM(CJ122:CJ126)</f>
        <v>2003000</v>
      </c>
      <c r="CL129" s="319">
        <f>SUM(CL122:CL126)</f>
        <v>1000</v>
      </c>
      <c r="CM129" s="122">
        <f>SUM(CM122:CM126)</f>
        <v>2004000</v>
      </c>
      <c r="CO129" s="122">
        <f>SUM(CO122:CO126)</f>
        <v>-25000</v>
      </c>
      <c r="CP129" s="122">
        <f>SUM(CP122:CP126)</f>
        <v>1979000</v>
      </c>
      <c r="CR129" s="122">
        <f>SUM(CR122:CR126)</f>
        <v>0</v>
      </c>
      <c r="CS129" s="122">
        <f>SUM(CS122:CS126)</f>
        <v>1979000</v>
      </c>
      <c r="CU129" s="122">
        <f>SUM(CU122:CU126)</f>
        <v>3000</v>
      </c>
      <c r="CV129" s="122">
        <f>SUM(CV122:CV126)</f>
        <v>1982000</v>
      </c>
      <c r="CX129" s="122">
        <f>SUM(CX122:CX126)</f>
        <v>0</v>
      </c>
      <c r="CY129" s="122">
        <f>SUM(CY122:CY126)</f>
        <v>1982000</v>
      </c>
      <c r="DA129" s="122">
        <f>SUM(DA122:DA127)</f>
        <v>2365902.69</v>
      </c>
      <c r="DC129" s="122">
        <f>SUM(DC122:DC126)</f>
        <v>126000</v>
      </c>
      <c r="DE129" s="122">
        <f>SUM(DE122:DE126)</f>
        <v>0</v>
      </c>
      <c r="DF129" s="122">
        <f>SUM(DF122:DF126)</f>
        <v>126000</v>
      </c>
      <c r="DH129" s="122">
        <f>SUM(DH122:DH126)</f>
        <v>0</v>
      </c>
      <c r="DI129" s="122">
        <f>SUM(DI122:DI126)</f>
        <v>126000</v>
      </c>
      <c r="DK129" s="122">
        <f>SUM(DK122:DK126)</f>
        <v>0</v>
      </c>
      <c r="DL129" s="122">
        <f>SUM(DL122:DL126)</f>
        <v>126000</v>
      </c>
      <c r="DN129" s="122">
        <f>SUM(DN122:DN126)</f>
        <v>0</v>
      </c>
      <c r="DO129" s="122">
        <f>SUM(DO122:DO126)</f>
        <v>126000</v>
      </c>
      <c r="DQ129" s="122">
        <f>SUM(DQ122:DQ126)</f>
        <v>0</v>
      </c>
      <c r="DR129" s="122">
        <f>SUM(DR122:DR126)</f>
        <v>126000</v>
      </c>
      <c r="DT129" s="122">
        <f>SUM(DT122:DT126)</f>
        <v>0</v>
      </c>
      <c r="DU129" s="122">
        <f>SUM(DU122:DU126)</f>
        <v>126000</v>
      </c>
      <c r="DW129" s="122">
        <f>SUM(DW122:DW126)</f>
        <v>0</v>
      </c>
      <c r="DX129" s="122">
        <f>SUM(DX122:DX126)</f>
        <v>126000</v>
      </c>
      <c r="DZ129" s="122">
        <f>SUM(DZ122:DZ126)</f>
        <v>0</v>
      </c>
      <c r="EA129" s="122">
        <f>SUM(EA122:EA126)</f>
        <v>126000</v>
      </c>
      <c r="EC129" s="122">
        <f>SUM(EC122:EC126)</f>
        <v>-24000</v>
      </c>
      <c r="ED129" s="122">
        <f>SUM(ED122:ED126)</f>
        <v>102000</v>
      </c>
      <c r="EF129" s="122">
        <f>SUM(EF122:EF126)</f>
        <v>0</v>
      </c>
      <c r="EG129" s="122">
        <f>SUM(EG122:EG126)</f>
        <v>102000</v>
      </c>
      <c r="EI129" s="122">
        <f>SUM(EI122:EI126)</f>
        <v>101640</v>
      </c>
      <c r="EK129" s="122">
        <f>SUM(EK122:EK126)</f>
        <v>10000</v>
      </c>
      <c r="EL129" s="377">
        <f>EK129/EI129-1</f>
        <v>-0.90161353797717436</v>
      </c>
      <c r="EM129" s="122">
        <f>SUM(EM122:EM126)</f>
        <v>0</v>
      </c>
      <c r="EN129" s="122">
        <f>SUM(EN122:EN126)</f>
        <v>10000</v>
      </c>
      <c r="EP129" s="122">
        <f>SUM(EP122:EP126)</f>
        <v>0</v>
      </c>
      <c r="EQ129" s="122">
        <f>SUM(EQ122:EQ126)</f>
        <v>10000</v>
      </c>
      <c r="ES129" s="122">
        <f>SUM(ES122:ES126)</f>
        <v>0</v>
      </c>
      <c r="ET129" s="122">
        <f>SUM(ET122:ET126)</f>
        <v>10000</v>
      </c>
      <c r="EV129" s="122">
        <f>SUM(EV122:EV126)</f>
        <v>0</v>
      </c>
      <c r="EW129" s="122">
        <f>SUM(EW122:EW126)</f>
        <v>10000</v>
      </c>
      <c r="EY129" s="122">
        <f>SUM(EY122:EY126)</f>
        <v>0</v>
      </c>
      <c r="EZ129" s="122">
        <f>SUM(EZ122:EZ126)</f>
        <v>10000</v>
      </c>
      <c r="FB129" s="122">
        <f>SUM(FB122:FB126)</f>
        <v>0</v>
      </c>
      <c r="FC129" s="122">
        <f>SUM(FC122:FC126)</f>
        <v>10000</v>
      </c>
      <c r="FE129" s="122">
        <f>SUM(FE122:FE126)</f>
        <v>0</v>
      </c>
      <c r="FF129" s="122">
        <f>SUM(FF122:FF126)</f>
        <v>10000</v>
      </c>
      <c r="FH129" s="122">
        <f>SUM(FH122:FH126)</f>
        <v>0</v>
      </c>
      <c r="FI129" s="122">
        <f>SUM(FI122:FI126)</f>
        <v>10000</v>
      </c>
      <c r="FK129" s="122">
        <f>SUM(FK122:FK126)</f>
        <v>0</v>
      </c>
      <c r="FL129" s="122">
        <f>SUM(FL122:FL126)</f>
        <v>10000</v>
      </c>
      <c r="FN129" s="122">
        <f>SUM(FN122:FN126)</f>
        <v>0</v>
      </c>
      <c r="FO129" s="122">
        <f>SUM(FO122:FO126)</f>
        <v>10000</v>
      </c>
      <c r="FQ129" s="122">
        <v>0</v>
      </c>
      <c r="FR129" s="122">
        <v>10000</v>
      </c>
      <c r="FT129" s="122">
        <f>SUM(FT122:FT126)</f>
        <v>0</v>
      </c>
      <c r="FV129" s="122">
        <f>SUM(FV122:FV126)</f>
        <v>50000</v>
      </c>
      <c r="FW129" s="235" t="e">
        <f t="shared" ref="FW129:FW131" si="490">FV129/FT129</f>
        <v>#DIV/0!</v>
      </c>
    </row>
    <row r="130" spans="1:181" ht="16.5" customHeight="1" thickTop="1" thickBot="1">
      <c r="A130" s="64" t="s">
        <v>173</v>
      </c>
      <c r="B130" s="65" t="s">
        <v>357</v>
      </c>
      <c r="C130" s="284" t="s">
        <v>337</v>
      </c>
      <c r="D130" s="66">
        <f>D126</f>
        <v>398000</v>
      </c>
      <c r="E130" s="67"/>
      <c r="F130" s="66">
        <f>F126</f>
        <v>398000</v>
      </c>
      <c r="G130" s="67"/>
      <c r="H130" s="66"/>
      <c r="I130" s="66">
        <f>I126</f>
        <v>9765</v>
      </c>
      <c r="J130" s="68"/>
      <c r="K130" s="69"/>
      <c r="L130" s="123">
        <f>L126</f>
        <v>330000</v>
      </c>
      <c r="M130" s="70">
        <f t="shared" si="480"/>
        <v>-0.17085427135678388</v>
      </c>
      <c r="N130" s="70">
        <f t="shared" si="481"/>
        <v>32.794162826420894</v>
      </c>
      <c r="Q130" s="123">
        <f t="shared" ref="Q130:T131" si="491">Q126</f>
        <v>674000</v>
      </c>
      <c r="R130" s="123">
        <f t="shared" si="491"/>
        <v>550715</v>
      </c>
      <c r="S130" s="123">
        <f t="shared" si="491"/>
        <v>740000</v>
      </c>
      <c r="T130" s="123">
        <f t="shared" si="491"/>
        <v>66000</v>
      </c>
      <c r="U130" s="155">
        <f t="shared" si="482"/>
        <v>9.7922848664688367E-2</v>
      </c>
      <c r="Y130" s="123">
        <f>Y126</f>
        <v>740000</v>
      </c>
      <c r="AA130" s="123">
        <f>AA126</f>
        <v>740000</v>
      </c>
      <c r="AB130" s="123">
        <f>AB126</f>
        <v>0</v>
      </c>
      <c r="AE130" s="123">
        <f>AE126</f>
        <v>740000</v>
      </c>
      <c r="AF130" s="182"/>
      <c r="AH130" s="123">
        <f>AH126</f>
        <v>716318.59</v>
      </c>
      <c r="AI130" s="17">
        <f t="shared" si="483"/>
        <v>0.96799809459459452</v>
      </c>
      <c r="AK130" s="123">
        <f>AK126</f>
        <v>110000</v>
      </c>
      <c r="AL130" s="193">
        <f t="shared" si="484"/>
        <v>0.33333333333333331</v>
      </c>
      <c r="AM130" s="17">
        <f t="shared" si="485"/>
        <v>0.14864864864864866</v>
      </c>
      <c r="AN130" s="17">
        <f t="shared" si="486"/>
        <v>0.15356295583505658</v>
      </c>
      <c r="AS130" s="123">
        <f>AS126</f>
        <v>110000</v>
      </c>
      <c r="AU130" s="123">
        <f>AU126</f>
        <v>0</v>
      </c>
      <c r="AV130" s="123">
        <f>AV126</f>
        <v>110000</v>
      </c>
      <c r="AX130" s="123">
        <f>AX126</f>
        <v>0</v>
      </c>
      <c r="AY130" s="123">
        <f>AY126</f>
        <v>110000</v>
      </c>
      <c r="BA130" s="123">
        <f>BA126</f>
        <v>0</v>
      </c>
      <c r="BB130" s="123">
        <f>BB126</f>
        <v>110000</v>
      </c>
      <c r="BD130" s="123">
        <f>BD126</f>
        <v>-20000</v>
      </c>
      <c r="BE130" s="123">
        <f>BE126</f>
        <v>90000</v>
      </c>
      <c r="BG130" s="123">
        <f>BG126</f>
        <v>-1500</v>
      </c>
      <c r="BH130" s="123">
        <f>BH126</f>
        <v>88500</v>
      </c>
      <c r="BJ130" s="123">
        <f>BJ126</f>
        <v>84700</v>
      </c>
      <c r="BK130" s="236">
        <f t="shared" si="487"/>
        <v>0.95706214689265534</v>
      </c>
      <c r="BM130" s="123">
        <f>BM126</f>
        <v>1720000</v>
      </c>
      <c r="BN130" s="236">
        <f t="shared" si="488"/>
        <v>20.306965761511215</v>
      </c>
      <c r="BO130" s="236">
        <f t="shared" si="489"/>
        <v>19.435028248587571</v>
      </c>
      <c r="BQ130" s="123">
        <f>BQ126</f>
        <v>0</v>
      </c>
      <c r="BR130" s="123">
        <f>BR126</f>
        <v>1720000</v>
      </c>
      <c r="BT130" s="123">
        <f>BT126</f>
        <v>0</v>
      </c>
      <c r="BU130" s="123">
        <f>BU126</f>
        <v>1720000</v>
      </c>
      <c r="BW130" s="123">
        <f>BW126</f>
        <v>220000</v>
      </c>
      <c r="BX130" s="123">
        <f>BX126</f>
        <v>1940000</v>
      </c>
      <c r="BZ130" s="123">
        <f>BZ126</f>
        <v>0</v>
      </c>
      <c r="CA130" s="123">
        <f>CA126</f>
        <v>1940000</v>
      </c>
      <c r="CC130" s="123">
        <f>CC126</f>
        <v>0</v>
      </c>
      <c r="CD130" s="123">
        <f>CD126</f>
        <v>1940000</v>
      </c>
      <c r="CF130" s="123">
        <f>CF126</f>
        <v>0</v>
      </c>
      <c r="CG130" s="123">
        <f>CG126</f>
        <v>1940000</v>
      </c>
      <c r="CI130" s="123">
        <f>CI126</f>
        <v>33000</v>
      </c>
      <c r="CJ130" s="123">
        <f>CJ126</f>
        <v>1973000</v>
      </c>
      <c r="CL130" s="319">
        <f>CL126</f>
        <v>0</v>
      </c>
      <c r="CM130" s="123">
        <f>CM126</f>
        <v>1973000</v>
      </c>
      <c r="CO130" s="123">
        <f>CO126</f>
        <v>0</v>
      </c>
      <c r="CP130" s="123">
        <f>CP126</f>
        <v>1973000</v>
      </c>
      <c r="CR130" s="123">
        <f>CR126</f>
        <v>0</v>
      </c>
      <c r="CS130" s="123">
        <f>CS126</f>
        <v>1973000</v>
      </c>
      <c r="CU130" s="123">
        <f>CU126</f>
        <v>8000</v>
      </c>
      <c r="CV130" s="123">
        <f>CV126</f>
        <v>1981000</v>
      </c>
      <c r="CX130" s="123">
        <f>CX126</f>
        <v>0</v>
      </c>
      <c r="CY130" s="123">
        <f>CY126</f>
        <v>1981000</v>
      </c>
      <c r="DA130" s="123">
        <f>DA126</f>
        <v>1980397.69</v>
      </c>
      <c r="DC130" s="123">
        <f>DC126</f>
        <v>0</v>
      </c>
      <c r="DE130" s="123">
        <f>DE126</f>
        <v>0</v>
      </c>
      <c r="DF130" s="123">
        <f>DF126</f>
        <v>0</v>
      </c>
      <c r="DH130" s="123">
        <f>DH126</f>
        <v>0</v>
      </c>
      <c r="DI130" s="123">
        <f>DI126</f>
        <v>0</v>
      </c>
      <c r="DK130" s="123">
        <f>DK126</f>
        <v>0</v>
      </c>
      <c r="DL130" s="123">
        <f>DL126</f>
        <v>0</v>
      </c>
      <c r="DN130" s="123">
        <f>DN126</f>
        <v>0</v>
      </c>
      <c r="DO130" s="123">
        <f>DO126</f>
        <v>0</v>
      </c>
      <c r="DQ130" s="123">
        <f>DQ126</f>
        <v>0</v>
      </c>
      <c r="DR130" s="123">
        <f>DR126</f>
        <v>0</v>
      </c>
      <c r="DT130" s="123">
        <f>DT126</f>
        <v>0</v>
      </c>
      <c r="DU130" s="123">
        <f>DU126</f>
        <v>0</v>
      </c>
      <c r="DW130" s="123">
        <f>DW126</f>
        <v>0</v>
      </c>
      <c r="DX130" s="123">
        <f>DX126</f>
        <v>0</v>
      </c>
      <c r="DZ130" s="123">
        <f>DZ126</f>
        <v>0</v>
      </c>
      <c r="EA130" s="123">
        <f>EA126</f>
        <v>0</v>
      </c>
      <c r="EC130" s="123">
        <f>EC126</f>
        <v>0</v>
      </c>
      <c r="ED130" s="123">
        <f>ED126</f>
        <v>0</v>
      </c>
      <c r="EF130" s="123">
        <f>EF126</f>
        <v>0</v>
      </c>
      <c r="EG130" s="123">
        <f>EG126</f>
        <v>0</v>
      </c>
      <c r="EI130" s="123">
        <f>EI126</f>
        <v>0</v>
      </c>
      <c r="EK130" s="123">
        <f>EK126</f>
        <v>10000</v>
      </c>
      <c r="EL130" s="377" t="e">
        <f>EK130/EI130-1</f>
        <v>#DIV/0!</v>
      </c>
      <c r="EM130" s="123">
        <f>EM126</f>
        <v>0</v>
      </c>
      <c r="EN130" s="123">
        <f>EN126</f>
        <v>10000</v>
      </c>
      <c r="EP130" s="123">
        <f>EP126</f>
        <v>0</v>
      </c>
      <c r="EQ130" s="123">
        <f>EQ126</f>
        <v>10000</v>
      </c>
      <c r="ES130" s="123">
        <f>ES126</f>
        <v>0</v>
      </c>
      <c r="ET130" s="123">
        <f>ET126</f>
        <v>10000</v>
      </c>
      <c r="EV130" s="123">
        <f>EV126</f>
        <v>0</v>
      </c>
      <c r="EW130" s="123">
        <f>EW126</f>
        <v>10000</v>
      </c>
      <c r="EY130" s="123">
        <f>EY126</f>
        <v>0</v>
      </c>
      <c r="EZ130" s="123">
        <f>EZ126</f>
        <v>10000</v>
      </c>
      <c r="FB130" s="123">
        <f>FB126</f>
        <v>0</v>
      </c>
      <c r="FC130" s="123">
        <f>FC126</f>
        <v>10000</v>
      </c>
      <c r="FE130" s="123">
        <f>FE126</f>
        <v>0</v>
      </c>
      <c r="FF130" s="123">
        <f>FF126</f>
        <v>10000</v>
      </c>
      <c r="FH130" s="123">
        <f>FH126</f>
        <v>0</v>
      </c>
      <c r="FI130" s="123">
        <f>FI126</f>
        <v>10000</v>
      </c>
      <c r="FK130" s="123">
        <f>FK126</f>
        <v>0</v>
      </c>
      <c r="FL130" s="123">
        <f>FL126</f>
        <v>10000</v>
      </c>
      <c r="FN130" s="123">
        <f>FN126</f>
        <v>0</v>
      </c>
      <c r="FO130" s="123">
        <f>FO126</f>
        <v>10000</v>
      </c>
      <c r="FQ130" s="123">
        <v>0</v>
      </c>
      <c r="FR130" s="123">
        <v>10000</v>
      </c>
      <c r="FT130" s="123">
        <f>FT126</f>
        <v>0</v>
      </c>
      <c r="FV130" s="123">
        <f>FV126</f>
        <v>50000</v>
      </c>
      <c r="FW130" s="235" t="e">
        <f t="shared" si="490"/>
        <v>#DIV/0!</v>
      </c>
    </row>
    <row r="131" spans="1:181" ht="15.75" customHeight="1" thickTop="1" thickBot="1">
      <c r="A131" s="75" t="s">
        <v>173</v>
      </c>
      <c r="B131" s="76" t="s">
        <v>277</v>
      </c>
      <c r="C131" s="285" t="s">
        <v>338</v>
      </c>
      <c r="D131" s="78">
        <f>D127</f>
        <v>0</v>
      </c>
      <c r="E131" s="79"/>
      <c r="F131" s="78">
        <f>F127</f>
        <v>0</v>
      </c>
      <c r="G131" s="79"/>
      <c r="H131" s="78"/>
      <c r="I131" s="78">
        <f>I127</f>
        <v>0</v>
      </c>
      <c r="J131" s="80"/>
      <c r="K131" s="77"/>
      <c r="L131" s="124">
        <f>L127</f>
        <v>500000</v>
      </c>
      <c r="M131" s="81" t="e">
        <f t="shared" si="480"/>
        <v>#DIV/0!</v>
      </c>
      <c r="N131" s="81" t="e">
        <f t="shared" si="481"/>
        <v>#DIV/0!</v>
      </c>
      <c r="Q131" s="124">
        <f t="shared" si="491"/>
        <v>177000</v>
      </c>
      <c r="R131" s="124">
        <f t="shared" si="491"/>
        <v>175690</v>
      </c>
      <c r="S131" s="124">
        <f t="shared" si="491"/>
        <v>201000</v>
      </c>
      <c r="T131" s="124">
        <f t="shared" si="491"/>
        <v>24000</v>
      </c>
      <c r="U131" s="156">
        <f t="shared" si="482"/>
        <v>0.13559322033898313</v>
      </c>
      <c r="Y131" s="124">
        <f>Y127</f>
        <v>201000</v>
      </c>
      <c r="AA131" s="124">
        <f>AA127</f>
        <v>218000</v>
      </c>
      <c r="AB131" s="124">
        <f>AB127</f>
        <v>17000</v>
      </c>
      <c r="AE131" s="124">
        <f>AE127</f>
        <v>218000</v>
      </c>
      <c r="AF131" s="182"/>
      <c r="AH131" s="124">
        <f>AH127</f>
        <v>216547.72</v>
      </c>
      <c r="AI131" s="17">
        <f t="shared" si="483"/>
        <v>0.99333816513761464</v>
      </c>
      <c r="AK131" s="124">
        <f>AK127</f>
        <v>0</v>
      </c>
      <c r="AL131" s="193">
        <f t="shared" si="484"/>
        <v>0</v>
      </c>
      <c r="AM131" s="17">
        <f t="shared" si="485"/>
        <v>0</v>
      </c>
      <c r="AN131" s="17">
        <f t="shared" si="486"/>
        <v>0</v>
      </c>
      <c r="AS131" s="124">
        <f>AS127</f>
        <v>0</v>
      </c>
      <c r="AU131" s="124">
        <f>AU127</f>
        <v>0</v>
      </c>
      <c r="AV131" s="124">
        <f>AV127</f>
        <v>0</v>
      </c>
      <c r="AX131" s="124">
        <f>AX127</f>
        <v>0</v>
      </c>
      <c r="AY131" s="124">
        <f>AY127</f>
        <v>0</v>
      </c>
      <c r="BA131" s="124">
        <f>BA127</f>
        <v>0</v>
      </c>
      <c r="BB131" s="124">
        <f>BB127</f>
        <v>0</v>
      </c>
      <c r="BD131" s="124">
        <f>BD127</f>
        <v>0</v>
      </c>
      <c r="BE131" s="124">
        <f>BE127</f>
        <v>0</v>
      </c>
      <c r="BG131" s="124">
        <f>BG127</f>
        <v>0</v>
      </c>
      <c r="BH131" s="124">
        <f>BH127</f>
        <v>0</v>
      </c>
      <c r="BJ131" s="124">
        <f>BJ127</f>
        <v>0</v>
      </c>
      <c r="BK131" s="237" t="e">
        <f t="shared" si="487"/>
        <v>#DIV/0!</v>
      </c>
      <c r="BM131" s="124">
        <f>BM127</f>
        <v>315000</v>
      </c>
      <c r="BN131" s="237" t="e">
        <f t="shared" si="488"/>
        <v>#DIV/0!</v>
      </c>
      <c r="BO131" s="237" t="e">
        <f t="shared" si="489"/>
        <v>#DIV/0!</v>
      </c>
      <c r="BQ131" s="124">
        <f>BQ127</f>
        <v>0</v>
      </c>
      <c r="BR131" s="124">
        <f>BR127</f>
        <v>315000</v>
      </c>
      <c r="BT131" s="124">
        <f>BT127</f>
        <v>0</v>
      </c>
      <c r="BU131" s="124">
        <f>BU127</f>
        <v>315000</v>
      </c>
      <c r="BW131" s="124">
        <f>BW127</f>
        <v>0</v>
      </c>
      <c r="BX131" s="124">
        <f>BX127</f>
        <v>315000</v>
      </c>
      <c r="BZ131" s="124">
        <f>BZ127</f>
        <v>0</v>
      </c>
      <c r="CA131" s="124">
        <f>CA127</f>
        <v>315000</v>
      </c>
      <c r="CC131" s="124">
        <f>CC127</f>
        <v>0</v>
      </c>
      <c r="CD131" s="124">
        <f>CD127</f>
        <v>315000</v>
      </c>
      <c r="CF131" s="124">
        <f>CF127</f>
        <v>0</v>
      </c>
      <c r="CG131" s="124">
        <f>CG127</f>
        <v>315000</v>
      </c>
      <c r="CI131" s="124">
        <f>CI127</f>
        <v>0</v>
      </c>
      <c r="CJ131" s="124">
        <f>CJ127</f>
        <v>315000</v>
      </c>
      <c r="CL131" s="319">
        <f>CL127</f>
        <v>48300</v>
      </c>
      <c r="CM131" s="124">
        <f>CM127</f>
        <v>363300</v>
      </c>
      <c r="CO131" s="124">
        <f>CO127</f>
        <v>0</v>
      </c>
      <c r="CP131" s="124">
        <f>CP127</f>
        <v>363300</v>
      </c>
      <c r="CR131" s="124">
        <f>CR127</f>
        <v>0</v>
      </c>
      <c r="CS131" s="124">
        <f>CS127</f>
        <v>363300</v>
      </c>
      <c r="CU131" s="124">
        <f>CU127</f>
        <v>21500</v>
      </c>
      <c r="CV131" s="124">
        <f>CV127</f>
        <v>384800</v>
      </c>
      <c r="CX131" s="124">
        <f>CX127</f>
        <v>0</v>
      </c>
      <c r="CY131" s="124">
        <f>CY127</f>
        <v>384800</v>
      </c>
      <c r="DA131" s="124">
        <f>DA127</f>
        <v>384506</v>
      </c>
      <c r="DC131" s="124">
        <f>DC127</f>
        <v>0</v>
      </c>
      <c r="DE131" s="124">
        <f>DE127</f>
        <v>0</v>
      </c>
      <c r="DF131" s="124">
        <f>DF127</f>
        <v>0</v>
      </c>
      <c r="DH131" s="124">
        <f>DH127</f>
        <v>0</v>
      </c>
      <c r="DI131" s="124">
        <f>DI127</f>
        <v>0</v>
      </c>
      <c r="DK131" s="124">
        <f>DK127</f>
        <v>0</v>
      </c>
      <c r="DL131" s="124">
        <f>DL127</f>
        <v>0</v>
      </c>
      <c r="DN131" s="124">
        <f>DN127</f>
        <v>0</v>
      </c>
      <c r="DO131" s="124">
        <f>DO127</f>
        <v>0</v>
      </c>
      <c r="DQ131" s="124">
        <f>DQ127</f>
        <v>0</v>
      </c>
      <c r="DR131" s="124">
        <f>DR127</f>
        <v>0</v>
      </c>
      <c r="DT131" s="124">
        <f>DT127</f>
        <v>0</v>
      </c>
      <c r="DU131" s="124">
        <f>DU127</f>
        <v>0</v>
      </c>
      <c r="DW131" s="124">
        <f>DW127</f>
        <v>0</v>
      </c>
      <c r="DX131" s="124">
        <f>DX127</f>
        <v>0</v>
      </c>
      <c r="DZ131" s="124">
        <f>DZ127</f>
        <v>0</v>
      </c>
      <c r="EA131" s="124">
        <f>EA127</f>
        <v>0</v>
      </c>
      <c r="EC131" s="124">
        <f>EC127</f>
        <v>0</v>
      </c>
      <c r="ED131" s="124">
        <f>ED127</f>
        <v>0</v>
      </c>
      <c r="EF131" s="124">
        <f>EF127</f>
        <v>0</v>
      </c>
      <c r="EG131" s="124">
        <f>EG127</f>
        <v>0</v>
      </c>
      <c r="EI131" s="124">
        <f>EI127</f>
        <v>0</v>
      </c>
      <c r="EK131" s="124">
        <f>EK127</f>
        <v>0</v>
      </c>
      <c r="EM131" s="124">
        <f>EM127</f>
        <v>0</v>
      </c>
      <c r="EN131" s="124">
        <f>EN127</f>
        <v>0</v>
      </c>
      <c r="EP131" s="124">
        <f>EP127</f>
        <v>0</v>
      </c>
      <c r="EQ131" s="124">
        <f>EQ127</f>
        <v>0</v>
      </c>
      <c r="ES131" s="124">
        <f>ES127</f>
        <v>0</v>
      </c>
      <c r="ET131" s="124">
        <f>ET127</f>
        <v>0</v>
      </c>
      <c r="EV131" s="124">
        <f>EV127</f>
        <v>0</v>
      </c>
      <c r="EW131" s="124">
        <f>EW127</f>
        <v>0</v>
      </c>
      <c r="EY131" s="124">
        <f>EY127</f>
        <v>0</v>
      </c>
      <c r="EZ131" s="124">
        <f>EZ127</f>
        <v>0</v>
      </c>
      <c r="FB131" s="124">
        <f>FB127</f>
        <v>0</v>
      </c>
      <c r="FC131" s="124">
        <f>FC127</f>
        <v>0</v>
      </c>
      <c r="FE131" s="124">
        <f>FE127</f>
        <v>0</v>
      </c>
      <c r="FF131" s="124">
        <f>FF127</f>
        <v>0</v>
      </c>
      <c r="FH131" s="124">
        <f>FH127</f>
        <v>0</v>
      </c>
      <c r="FI131" s="124">
        <f>FI127</f>
        <v>0</v>
      </c>
      <c r="FK131" s="124">
        <f>FK127</f>
        <v>0</v>
      </c>
      <c r="FL131" s="124">
        <f>FL127</f>
        <v>0</v>
      </c>
      <c r="FN131" s="124">
        <f>FN127</f>
        <v>0</v>
      </c>
      <c r="FO131" s="124">
        <f>FO127</f>
        <v>0</v>
      </c>
      <c r="FQ131" s="124">
        <v>0</v>
      </c>
      <c r="FR131" s="124">
        <v>0</v>
      </c>
      <c r="FT131" s="124">
        <f>FT127</f>
        <v>0</v>
      </c>
      <c r="FV131" s="124">
        <f>FV127</f>
        <v>0</v>
      </c>
      <c r="FW131" s="235" t="e">
        <f t="shared" si="490"/>
        <v>#DIV/0!</v>
      </c>
    </row>
    <row r="132" spans="1:181" ht="15.75" outlineLevel="1" thickTop="1">
      <c r="A132" s="1" t="s">
        <v>175</v>
      </c>
      <c r="B132" s="1" t="s">
        <v>113</v>
      </c>
      <c r="C132" s="4" t="s">
        <v>114</v>
      </c>
      <c r="D132" s="43">
        <v>30000</v>
      </c>
      <c r="E132" s="34">
        <v>73.569999999999993</v>
      </c>
      <c r="F132" s="43">
        <v>30000</v>
      </c>
      <c r="G132" s="34">
        <v>73.569999999999993</v>
      </c>
      <c r="H132" s="46">
        <v>22070.400000000001</v>
      </c>
      <c r="I132" s="36">
        <v>22070</v>
      </c>
      <c r="J132" s="14"/>
      <c r="L132" s="118">
        <f>'[1]2020'!$Q$56</f>
        <v>10000</v>
      </c>
      <c r="M132" s="17">
        <f t="shared" si="480"/>
        <v>-0.66666666666666674</v>
      </c>
      <c r="N132" s="17">
        <f t="shared" si="481"/>
        <v>-0.54689623923878572</v>
      </c>
      <c r="Q132" s="118">
        <v>10000</v>
      </c>
      <c r="R132" s="15">
        <v>0</v>
      </c>
      <c r="S132" s="118">
        <v>10000</v>
      </c>
      <c r="T132" s="15">
        <f>S132-Q132</f>
        <v>0</v>
      </c>
      <c r="U132" s="16">
        <f t="shared" si="482"/>
        <v>0</v>
      </c>
      <c r="Y132" s="118">
        <v>10000</v>
      </c>
      <c r="AA132" s="118">
        <v>36000</v>
      </c>
      <c r="AB132" s="185">
        <f t="shared" ref="AB132:AB136" si="492">AA132-Y132</f>
        <v>26000</v>
      </c>
      <c r="AC132" s="187">
        <f t="shared" ref="AC132:AC133" si="493">AA132-Y132</f>
        <v>26000</v>
      </c>
      <c r="AD132" s="187"/>
      <c r="AE132" s="118">
        <v>36000</v>
      </c>
      <c r="AF132" s="182"/>
      <c r="AH132" s="15">
        <v>27752.560000000001</v>
      </c>
      <c r="AI132" s="17">
        <f t="shared" si="483"/>
        <v>0.7709044444444445</v>
      </c>
      <c r="AK132" s="118">
        <v>0</v>
      </c>
      <c r="AS132" s="15">
        <f t="shared" ref="AS132" si="494">AR132+AK132</f>
        <v>0</v>
      </c>
      <c r="AV132" s="15">
        <f t="shared" ref="AV132" si="495">AS132+AU132</f>
        <v>0</v>
      </c>
      <c r="AX132" s="15"/>
      <c r="AY132" s="15">
        <f t="shared" ref="AY132" si="496">AV132+AX132</f>
        <v>0</v>
      </c>
      <c r="BB132" s="15">
        <f t="shared" ref="BB132" si="497">AY132+BA132</f>
        <v>0</v>
      </c>
      <c r="BD132" s="15"/>
      <c r="BE132" s="15">
        <f t="shared" ref="BE132" si="498">BB132+BD132</f>
        <v>0</v>
      </c>
      <c r="BG132" s="15"/>
      <c r="BH132" s="15">
        <f t="shared" ref="BH132" si="499">BE132+BG132</f>
        <v>0</v>
      </c>
      <c r="BM132" s="15"/>
      <c r="BQ132" s="15"/>
      <c r="BR132" s="15"/>
      <c r="BT132" s="15"/>
      <c r="BU132" s="15"/>
      <c r="BW132" s="15"/>
      <c r="BX132" s="15"/>
      <c r="BZ132" s="15"/>
      <c r="CA132" s="15"/>
      <c r="CC132" s="15"/>
      <c r="CD132" s="15"/>
      <c r="CF132" s="15"/>
      <c r="CG132" s="15"/>
      <c r="CI132" s="15"/>
      <c r="CJ132" s="15"/>
      <c r="CM132" s="15"/>
      <c r="CP132" s="15"/>
      <c r="CS132" s="15"/>
      <c r="CV132" s="15"/>
      <c r="CY132" s="15"/>
      <c r="DE132" s="15"/>
      <c r="DF132" s="15">
        <f t="shared" ref="DF132" si="500">DC132+DE132</f>
        <v>0</v>
      </c>
      <c r="DH132" s="15"/>
      <c r="DI132" s="15">
        <f t="shared" ref="DI132" si="501">DF132+DH132</f>
        <v>0</v>
      </c>
      <c r="DK132" s="15"/>
      <c r="DL132" s="15">
        <f t="shared" ref="DL132" si="502">DI132+DK132</f>
        <v>0</v>
      </c>
      <c r="DN132" s="15"/>
      <c r="DO132" s="15">
        <f t="shared" ref="DO132" si="503">DL132+DN132</f>
        <v>0</v>
      </c>
      <c r="DQ132" s="15"/>
      <c r="DR132" s="15">
        <f t="shared" ref="DR132" si="504">DO132+DQ132</f>
        <v>0</v>
      </c>
      <c r="DT132" s="15"/>
      <c r="DU132" s="15">
        <f t="shared" ref="DU132" si="505">DR132+DT132</f>
        <v>0</v>
      </c>
      <c r="DW132" s="15"/>
      <c r="DX132" s="15">
        <f t="shared" ref="DX132" si="506">DU132+DW132</f>
        <v>0</v>
      </c>
      <c r="DZ132" s="15"/>
      <c r="EA132" s="15">
        <f t="shared" ref="EA132" si="507">DX132+DZ132</f>
        <v>0</v>
      </c>
      <c r="EC132" s="15"/>
      <c r="ED132" s="15">
        <f t="shared" ref="ED132" si="508">EA132+EC132</f>
        <v>0</v>
      </c>
      <c r="EF132" s="15"/>
      <c r="EG132" s="15">
        <f t="shared" ref="EG132" si="509">ED132+EF132</f>
        <v>0</v>
      </c>
      <c r="EK132" s="15"/>
      <c r="EM132" s="15"/>
      <c r="EN132" s="15">
        <f t="shared" ref="EN132" si="510">EK132+EM132</f>
        <v>0</v>
      </c>
      <c r="EP132" s="15"/>
      <c r="EQ132" s="15">
        <f t="shared" ref="EQ132" si="511">EN132+EP132</f>
        <v>0</v>
      </c>
      <c r="ES132" s="15"/>
      <c r="ET132" s="15">
        <f t="shared" ref="ET132" si="512">EQ132+ES132</f>
        <v>0</v>
      </c>
      <c r="EW132" s="15">
        <f t="shared" ref="EW132" si="513">ET132+EV132</f>
        <v>0</v>
      </c>
      <c r="EZ132" s="15">
        <f t="shared" ref="EZ132" si="514">EW132+EY132</f>
        <v>0</v>
      </c>
      <c r="FC132" s="15">
        <f t="shared" ref="FC132" si="515">EZ132+FB132</f>
        <v>0</v>
      </c>
      <c r="FF132" s="15">
        <f t="shared" ref="FF132" si="516">FC132+FE132</f>
        <v>0</v>
      </c>
      <c r="FI132" s="15">
        <f t="shared" ref="FI132" si="517">FF132+FH132</f>
        <v>0</v>
      </c>
      <c r="FL132" s="15">
        <f t="shared" ref="FL132" si="518">FI132+FK132</f>
        <v>0</v>
      </c>
      <c r="FO132" s="15">
        <f t="shared" ref="FO132" si="519">FL132+FN132</f>
        <v>0</v>
      </c>
      <c r="FR132" s="15">
        <v>0</v>
      </c>
    </row>
    <row r="133" spans="1:181" outlineLevel="1">
      <c r="A133" s="1" t="s">
        <v>175</v>
      </c>
      <c r="B133" s="1" t="s">
        <v>146</v>
      </c>
      <c r="C133" s="4" t="s">
        <v>147</v>
      </c>
      <c r="D133" s="43">
        <v>2000</v>
      </c>
      <c r="E133" s="34">
        <v>91.66</v>
      </c>
      <c r="F133" s="43">
        <v>2000</v>
      </c>
      <c r="G133" s="34">
        <v>91.66</v>
      </c>
      <c r="H133" s="46">
        <v>1833.15</v>
      </c>
      <c r="I133" s="36">
        <v>2000</v>
      </c>
      <c r="J133" s="14"/>
      <c r="L133" s="118">
        <v>2000</v>
      </c>
      <c r="M133" s="17">
        <f t="shared" si="480"/>
        <v>0</v>
      </c>
      <c r="N133" s="17">
        <f t="shared" si="481"/>
        <v>0</v>
      </c>
      <c r="Q133" s="118">
        <v>2000</v>
      </c>
      <c r="R133" s="15">
        <v>0</v>
      </c>
      <c r="S133" s="118">
        <v>1000</v>
      </c>
      <c r="T133" s="15">
        <f>S133-Q133</f>
        <v>-1000</v>
      </c>
      <c r="U133" s="16">
        <f t="shared" si="482"/>
        <v>-0.5</v>
      </c>
      <c r="Y133" s="118">
        <v>1000</v>
      </c>
      <c r="AA133" s="118">
        <v>0</v>
      </c>
      <c r="AB133" s="185">
        <f t="shared" si="492"/>
        <v>-1000</v>
      </c>
      <c r="AC133" s="187">
        <f t="shared" si="493"/>
        <v>-1000</v>
      </c>
      <c r="AD133" s="187"/>
      <c r="AE133" s="118">
        <v>0</v>
      </c>
      <c r="AF133" s="182"/>
      <c r="AH133" s="15">
        <v>0</v>
      </c>
      <c r="AX133" s="15"/>
      <c r="BD133" s="15"/>
      <c r="BG133" s="15"/>
      <c r="DE133" s="15"/>
      <c r="DH133" s="15"/>
      <c r="DK133" s="15"/>
      <c r="DN133" s="15"/>
      <c r="DQ133" s="15"/>
      <c r="DT133" s="15"/>
      <c r="DW133" s="15"/>
      <c r="DZ133" s="15"/>
      <c r="EC133" s="15"/>
      <c r="EF133" s="15"/>
      <c r="EK133" s="15"/>
      <c r="EM133" s="15"/>
      <c r="EP133" s="15"/>
      <c r="ES133" s="15"/>
    </row>
    <row r="134" spans="1:181" outlineLevel="1">
      <c r="A134" s="1" t="s">
        <v>175</v>
      </c>
      <c r="B134" s="1" t="s">
        <v>161</v>
      </c>
      <c r="C134" s="4" t="s">
        <v>162</v>
      </c>
      <c r="D134" s="43">
        <v>16500</v>
      </c>
      <c r="E134" s="34">
        <v>131.85</v>
      </c>
      <c r="F134" s="43">
        <v>26500</v>
      </c>
      <c r="G134" s="34">
        <v>82.1</v>
      </c>
      <c r="H134" s="46">
        <v>21756</v>
      </c>
      <c r="I134" s="36">
        <v>26500</v>
      </c>
      <c r="J134" s="14"/>
      <c r="K134" t="s">
        <v>332</v>
      </c>
      <c r="L134" s="118">
        <v>34000</v>
      </c>
      <c r="M134" s="17">
        <f t="shared" si="480"/>
        <v>0.28301886792452824</v>
      </c>
      <c r="N134" s="17">
        <f t="shared" si="481"/>
        <v>0.28301886792452824</v>
      </c>
      <c r="Q134" s="118">
        <v>34000</v>
      </c>
      <c r="R134" s="15">
        <v>14220</v>
      </c>
      <c r="S134" s="118">
        <v>30000</v>
      </c>
      <c r="T134" s="15">
        <f>S134-Q134</f>
        <v>-4000</v>
      </c>
      <c r="U134" s="16">
        <f t="shared" si="482"/>
        <v>-0.11764705882352944</v>
      </c>
      <c r="Y134" s="118">
        <v>33000</v>
      </c>
      <c r="AA134" s="118">
        <v>35000</v>
      </c>
      <c r="AB134" s="185">
        <f t="shared" si="492"/>
        <v>2000</v>
      </c>
      <c r="AC134" s="187">
        <f t="shared" ref="AC134:AC136" si="520">AA134-Y134</f>
        <v>2000</v>
      </c>
      <c r="AD134" s="187"/>
      <c r="AE134" s="118">
        <v>35000</v>
      </c>
      <c r="AF134" s="182"/>
      <c r="AH134" s="15">
        <v>33163</v>
      </c>
      <c r="AI134" s="17">
        <f t="shared" ref="AI134:AI136" si="521">AH134/AE134</f>
        <v>0.94751428571428575</v>
      </c>
      <c r="AK134" s="118">
        <v>35000</v>
      </c>
      <c r="AS134" s="15">
        <f t="shared" ref="AS134" si="522">AR134+AK134</f>
        <v>35000</v>
      </c>
      <c r="AV134" s="15">
        <f t="shared" ref="AV134" si="523">AS134+AU134</f>
        <v>35000</v>
      </c>
      <c r="AX134" s="15"/>
      <c r="AY134" s="15">
        <f t="shared" ref="AY134" si="524">AV134+AX134</f>
        <v>35000</v>
      </c>
      <c r="BB134" s="15">
        <f t="shared" ref="BB134" si="525">AY134+BA134</f>
        <v>35000</v>
      </c>
      <c r="BD134" s="15">
        <v>20000</v>
      </c>
      <c r="BE134" s="15">
        <f t="shared" ref="BE134" si="526">BB134+BD134</f>
        <v>55000</v>
      </c>
      <c r="BG134" s="15"/>
      <c r="BH134" s="15">
        <f t="shared" ref="BH134" si="527">BE134+BG134</f>
        <v>55000</v>
      </c>
      <c r="BJ134" s="15">
        <v>43196</v>
      </c>
      <c r="BK134" s="235">
        <f t="shared" ref="BK134" si="528">BJ134/BH134</f>
        <v>0.78538181818181818</v>
      </c>
      <c r="BM134" s="196">
        <f>12*(6900)</f>
        <v>82800</v>
      </c>
      <c r="BN134" s="235">
        <f t="shared" ref="BN134" si="529">BM134/BJ134</f>
        <v>1.9168441522363182</v>
      </c>
      <c r="BO134" s="235">
        <f t="shared" ref="BO134" si="530">BM134/BH134</f>
        <v>1.5054545454545454</v>
      </c>
      <c r="BQ134" s="15"/>
      <c r="BR134" s="15">
        <f t="shared" ref="BR134" si="531">BM134+BQ134</f>
        <v>82800</v>
      </c>
      <c r="BT134" s="15"/>
      <c r="BU134" s="15">
        <f>BR134+BT134</f>
        <v>82800</v>
      </c>
      <c r="BW134" s="15"/>
      <c r="BX134" s="15">
        <f>BU134+BW134</f>
        <v>82800</v>
      </c>
      <c r="BZ134" s="15"/>
      <c r="CA134" s="15">
        <f>BX134+BZ134</f>
        <v>82800</v>
      </c>
      <c r="CC134" s="15"/>
      <c r="CD134" s="15">
        <f>CA134+CC134</f>
        <v>82800</v>
      </c>
      <c r="CF134" s="15"/>
      <c r="CG134" s="15">
        <f>CD134+CF134</f>
        <v>82800</v>
      </c>
      <c r="CI134" s="15"/>
      <c r="CJ134" s="15">
        <f>CG134+CI134</f>
        <v>82800</v>
      </c>
      <c r="CM134" s="15">
        <f>CJ134+CL134</f>
        <v>82800</v>
      </c>
      <c r="CO134" s="15">
        <v>6000</v>
      </c>
      <c r="CP134" s="15">
        <f>CM134+CO134</f>
        <v>88800</v>
      </c>
      <c r="CS134" s="15">
        <f>CP134+CR134</f>
        <v>88800</v>
      </c>
      <c r="CU134" s="227">
        <v>-2800</v>
      </c>
      <c r="CV134" s="15">
        <f>CS134+CU134</f>
        <v>86000</v>
      </c>
      <c r="CX134" s="227"/>
      <c r="CY134" s="15">
        <f>CV134+CX134</f>
        <v>86000</v>
      </c>
      <c r="DA134" s="15">
        <v>85553.25</v>
      </c>
      <c r="DC134" s="15">
        <v>80000</v>
      </c>
      <c r="DE134" s="15"/>
      <c r="DF134" s="15">
        <f t="shared" ref="DF134" si="532">DC134+DE134</f>
        <v>80000</v>
      </c>
      <c r="DH134" s="15"/>
      <c r="DI134" s="15">
        <f t="shared" ref="DI134:DI136" si="533">DF134+DH134</f>
        <v>80000</v>
      </c>
      <c r="DK134" s="15"/>
      <c r="DL134" s="15">
        <f t="shared" ref="DL134:DL136" si="534">DI134+DK134</f>
        <v>80000</v>
      </c>
      <c r="DN134" s="15"/>
      <c r="DO134" s="15">
        <f t="shared" ref="DO134:DO136" si="535">DL134+DN134</f>
        <v>80000</v>
      </c>
      <c r="DQ134" s="15"/>
      <c r="DR134" s="15">
        <f t="shared" ref="DR134:DR136" si="536">DO134+DQ134</f>
        <v>80000</v>
      </c>
      <c r="DT134" s="15"/>
      <c r="DU134" s="15">
        <f t="shared" ref="DU134:DU136" si="537">DR134+DT134</f>
        <v>80000</v>
      </c>
      <c r="DW134" s="15"/>
      <c r="DX134" s="15">
        <f t="shared" ref="DX134:DX136" si="538">DU134+DW134</f>
        <v>80000</v>
      </c>
      <c r="DZ134" s="15"/>
      <c r="EA134" s="15">
        <f t="shared" ref="EA134:EA136" si="539">DX134+DZ134</f>
        <v>80000</v>
      </c>
      <c r="EC134" s="15"/>
      <c r="ED134" s="15">
        <f t="shared" ref="ED134:ED136" si="540">EA134+EC134</f>
        <v>80000</v>
      </c>
      <c r="EF134" s="227">
        <v>-15588</v>
      </c>
      <c r="EG134" s="15">
        <f t="shared" ref="EG134:EG136" si="541">ED134+EF134</f>
        <v>64412</v>
      </c>
      <c r="EI134" s="15">
        <v>56811</v>
      </c>
      <c r="EK134" s="15">
        <v>60000</v>
      </c>
      <c r="EM134" s="15"/>
      <c r="EN134" s="15">
        <f t="shared" ref="EN134:EN136" si="542">EK134+EM134</f>
        <v>60000</v>
      </c>
      <c r="EP134" s="15"/>
      <c r="EQ134" s="15">
        <f t="shared" ref="EQ134:EQ136" si="543">EN134+EP134</f>
        <v>60000</v>
      </c>
      <c r="ES134" s="15"/>
      <c r="ET134" s="15">
        <f t="shared" ref="ET134:ET136" si="544">EQ134+ES134</f>
        <v>60000</v>
      </c>
      <c r="EW134" s="15">
        <f t="shared" ref="EW134:EW136" si="545">ET134+EV134</f>
        <v>60000</v>
      </c>
      <c r="EZ134" s="15">
        <f t="shared" ref="EZ134:EZ136" si="546">EW134+EY134</f>
        <v>60000</v>
      </c>
      <c r="FC134" s="15">
        <f t="shared" ref="FC134:FC136" si="547">EZ134+FB134</f>
        <v>60000</v>
      </c>
      <c r="FF134" s="15">
        <f t="shared" ref="FF134:FF136" si="548">FC134+FE134</f>
        <v>60000</v>
      </c>
      <c r="FI134" s="15">
        <f t="shared" ref="FI134:FI136" si="549">FF134+FH134</f>
        <v>60000</v>
      </c>
      <c r="FK134" s="227">
        <v>-17000</v>
      </c>
      <c r="FL134" s="15">
        <f t="shared" ref="FL134:FL136" si="550">FI134+FK134</f>
        <v>43000</v>
      </c>
      <c r="FO134" s="15">
        <f t="shared" ref="FO134:FO136" si="551">FL134+FN134</f>
        <v>43000</v>
      </c>
      <c r="FR134" s="15">
        <v>43000</v>
      </c>
      <c r="FT134" s="15">
        <v>42447</v>
      </c>
      <c r="FV134" s="15">
        <v>45000</v>
      </c>
      <c r="FW134" s="235">
        <f t="shared" ref="FW134" si="552">FV134/FT134</f>
        <v>1.0601455933281505</v>
      </c>
    </row>
    <row r="135" spans="1:181" outlineLevel="1">
      <c r="A135" s="1" t="s">
        <v>175</v>
      </c>
      <c r="B135" s="1" t="s">
        <v>115</v>
      </c>
      <c r="C135" s="4" t="s">
        <v>116</v>
      </c>
      <c r="D135" s="43">
        <v>10000</v>
      </c>
      <c r="E135" s="34">
        <v>6.61</v>
      </c>
      <c r="F135" s="43">
        <v>10000</v>
      </c>
      <c r="G135" s="34">
        <v>6.61</v>
      </c>
      <c r="H135" s="46">
        <v>660.66</v>
      </c>
      <c r="I135" s="36">
        <v>25000</v>
      </c>
      <c r="J135" s="14"/>
      <c r="L135" s="118">
        <v>10000</v>
      </c>
      <c r="M135" s="17">
        <f t="shared" si="480"/>
        <v>0</v>
      </c>
      <c r="N135" s="17">
        <f t="shared" si="481"/>
        <v>-0.6</v>
      </c>
      <c r="Q135" s="118">
        <v>10000</v>
      </c>
      <c r="R135" s="15">
        <v>0</v>
      </c>
      <c r="S135" s="118">
        <v>5000</v>
      </c>
      <c r="T135" s="15">
        <f>S135-Q135</f>
        <v>-5000</v>
      </c>
      <c r="U135" s="16">
        <f t="shared" si="482"/>
        <v>-0.5</v>
      </c>
      <c r="Y135" s="118">
        <v>5000</v>
      </c>
      <c r="AA135" s="118">
        <v>5000</v>
      </c>
      <c r="AB135" s="185">
        <f t="shared" si="492"/>
        <v>0</v>
      </c>
      <c r="AC135" s="187">
        <f t="shared" si="520"/>
        <v>0</v>
      </c>
      <c r="AD135" s="187"/>
      <c r="AE135" s="118">
        <v>5000</v>
      </c>
      <c r="AF135" s="182"/>
      <c r="AH135" s="15">
        <v>0</v>
      </c>
      <c r="AI135" s="17">
        <f t="shared" si="521"/>
        <v>0</v>
      </c>
      <c r="AX135" s="15"/>
      <c r="BD135" s="15"/>
      <c r="BG135" s="15"/>
      <c r="BQ135" s="227">
        <v>5000</v>
      </c>
      <c r="BR135" s="15">
        <f t="shared" ref="BR135:BR136" si="553">BM135+BQ135</f>
        <v>5000</v>
      </c>
      <c r="BT135" s="15"/>
      <c r="BU135" s="15">
        <f>BR135+BT135</f>
        <v>5000</v>
      </c>
      <c r="BW135" s="15"/>
      <c r="BX135" s="15">
        <f>BU135+BW135</f>
        <v>5000</v>
      </c>
      <c r="BZ135" s="15"/>
      <c r="CA135" s="15">
        <f>BX135+BZ135</f>
        <v>5000</v>
      </c>
      <c r="CC135" s="15"/>
      <c r="CD135" s="15">
        <f>CA135+CC135</f>
        <v>5000</v>
      </c>
      <c r="CF135" s="15"/>
      <c r="CG135" s="15">
        <f>CD135+CF135</f>
        <v>5000</v>
      </c>
      <c r="CI135" s="15"/>
      <c r="CJ135" s="15">
        <f>CG135+CI135</f>
        <v>5000</v>
      </c>
      <c r="CM135" s="15">
        <f>CJ135+CL135</f>
        <v>5000</v>
      </c>
      <c r="CP135" s="15">
        <f>CM135+CO135</f>
        <v>5000</v>
      </c>
      <c r="CS135" s="15">
        <f>CP135+CR135</f>
        <v>5000</v>
      </c>
      <c r="CU135" s="227">
        <v>-1000</v>
      </c>
      <c r="CV135" s="15">
        <f>CS135+CU135</f>
        <v>4000</v>
      </c>
      <c r="CX135" s="227"/>
      <c r="CY135" s="15">
        <f>CV135+CX135</f>
        <v>4000</v>
      </c>
      <c r="DA135" s="15">
        <v>3630</v>
      </c>
      <c r="DC135" s="15">
        <v>4000</v>
      </c>
      <c r="DE135" s="15"/>
      <c r="DF135" s="15">
        <f t="shared" ref="DF135:DF136" si="554">DC135+DE135</f>
        <v>4000</v>
      </c>
      <c r="DH135" s="15"/>
      <c r="DI135" s="15">
        <f t="shared" si="533"/>
        <v>4000</v>
      </c>
      <c r="DK135" s="15"/>
      <c r="DL135" s="15">
        <f t="shared" si="534"/>
        <v>4000</v>
      </c>
      <c r="DN135" s="15"/>
      <c r="DO135" s="15">
        <f t="shared" si="535"/>
        <v>4000</v>
      </c>
      <c r="DQ135" s="15"/>
      <c r="DR135" s="15">
        <f t="shared" si="536"/>
        <v>4000</v>
      </c>
      <c r="DT135" s="15"/>
      <c r="DU135" s="15">
        <f t="shared" si="537"/>
        <v>4000</v>
      </c>
      <c r="DW135" s="15"/>
      <c r="DX135" s="15">
        <f t="shared" si="538"/>
        <v>4000</v>
      </c>
      <c r="DZ135" s="15"/>
      <c r="EA135" s="15">
        <f t="shared" si="539"/>
        <v>4000</v>
      </c>
      <c r="EC135" s="227">
        <v>-4000</v>
      </c>
      <c r="ED135" s="15">
        <f t="shared" si="540"/>
        <v>0</v>
      </c>
      <c r="EF135" s="15"/>
      <c r="EG135" s="15">
        <f t="shared" si="541"/>
        <v>0</v>
      </c>
      <c r="EI135" s="15">
        <v>0</v>
      </c>
      <c r="EK135" s="15"/>
      <c r="EM135" s="15"/>
      <c r="EN135" s="15">
        <f t="shared" si="542"/>
        <v>0</v>
      </c>
      <c r="EP135" s="15"/>
      <c r="EQ135" s="15">
        <f t="shared" si="543"/>
        <v>0</v>
      </c>
      <c r="ES135" s="15"/>
      <c r="ET135" s="15">
        <f t="shared" si="544"/>
        <v>0</v>
      </c>
      <c r="EW135" s="15">
        <f t="shared" si="545"/>
        <v>0</v>
      </c>
      <c r="EZ135" s="15">
        <f t="shared" si="546"/>
        <v>0</v>
      </c>
      <c r="FC135" s="15">
        <f t="shared" si="547"/>
        <v>0</v>
      </c>
      <c r="FF135" s="15">
        <f t="shared" si="548"/>
        <v>0</v>
      </c>
      <c r="FI135" s="15">
        <f t="shared" si="549"/>
        <v>0</v>
      </c>
      <c r="FL135" s="15">
        <f t="shared" si="550"/>
        <v>0</v>
      </c>
      <c r="FO135" s="15">
        <f t="shared" si="551"/>
        <v>0</v>
      </c>
      <c r="FR135" s="15">
        <v>0</v>
      </c>
    </row>
    <row r="136" spans="1:181" outlineLevel="1">
      <c r="A136" s="1" t="s">
        <v>175</v>
      </c>
      <c r="B136" s="1" t="s">
        <v>117</v>
      </c>
      <c r="C136" s="4" t="s">
        <v>118</v>
      </c>
      <c r="D136" s="43">
        <v>5000</v>
      </c>
      <c r="E136" s="34">
        <v>0</v>
      </c>
      <c r="F136" s="43">
        <v>5000</v>
      </c>
      <c r="G136" s="34">
        <v>0</v>
      </c>
      <c r="H136" s="46">
        <v>0</v>
      </c>
      <c r="I136" s="36">
        <v>20301</v>
      </c>
      <c r="J136" s="14"/>
      <c r="L136" s="118">
        <v>10000</v>
      </c>
      <c r="M136" s="17">
        <f t="shared" si="480"/>
        <v>1</v>
      </c>
      <c r="N136" s="17">
        <f t="shared" si="481"/>
        <v>-0.50741342790995514</v>
      </c>
      <c r="Q136" s="118">
        <v>10000</v>
      </c>
      <c r="R136" s="15">
        <v>0</v>
      </c>
      <c r="S136" s="118">
        <v>10000</v>
      </c>
      <c r="T136" s="15">
        <f>S136-Q136</f>
        <v>0</v>
      </c>
      <c r="U136" s="16">
        <f t="shared" si="482"/>
        <v>0</v>
      </c>
      <c r="Y136" s="118">
        <v>10000</v>
      </c>
      <c r="AA136" s="118">
        <v>10000</v>
      </c>
      <c r="AB136" s="185">
        <f t="shared" si="492"/>
        <v>0</v>
      </c>
      <c r="AC136" s="187">
        <f t="shared" si="520"/>
        <v>0</v>
      </c>
      <c r="AD136" s="187"/>
      <c r="AE136" s="118">
        <v>31300</v>
      </c>
      <c r="AF136" s="182">
        <f t="shared" si="339"/>
        <v>21300</v>
      </c>
      <c r="AH136" s="15">
        <v>31258.43</v>
      </c>
      <c r="AI136" s="17">
        <f t="shared" si="521"/>
        <v>0.99867188498402559</v>
      </c>
      <c r="AK136" s="118">
        <v>40000</v>
      </c>
      <c r="AS136" s="15">
        <f t="shared" ref="AS136" si="555">AR136+AK136</f>
        <v>40000</v>
      </c>
      <c r="AV136" s="15">
        <f t="shared" ref="AV136" si="556">AS136+AU136</f>
        <v>40000</v>
      </c>
      <c r="AX136" s="15">
        <v>49297.26</v>
      </c>
      <c r="AY136" s="15">
        <f t="shared" ref="AY136" si="557">AV136+AX136</f>
        <v>89297.260000000009</v>
      </c>
      <c r="BB136" s="15">
        <f t="shared" ref="BB136" si="558">AY136+BA136</f>
        <v>89297.260000000009</v>
      </c>
      <c r="BD136" s="15">
        <v>5703</v>
      </c>
      <c r="BE136" s="15">
        <f t="shared" ref="BE136" si="559">BB136+BD136</f>
        <v>95000.260000000009</v>
      </c>
      <c r="BG136" s="15"/>
      <c r="BH136" s="15">
        <f t="shared" ref="BH136" si="560">BE136+BG136</f>
        <v>95000.260000000009</v>
      </c>
      <c r="BJ136" s="15">
        <v>55732.3</v>
      </c>
      <c r="BK136" s="235">
        <f t="shared" ref="BK136" si="561">BJ136/BH136</f>
        <v>0.58665418389381252</v>
      </c>
      <c r="BM136" s="15">
        <v>30000</v>
      </c>
      <c r="BN136" s="235">
        <f t="shared" ref="BN136" si="562">BM136/BJ136</f>
        <v>0.53828749217240268</v>
      </c>
      <c r="BO136" s="235">
        <f t="shared" ref="BO136" si="563">BM136/BH136</f>
        <v>0.31578860942064785</v>
      </c>
      <c r="BR136" s="15">
        <f t="shared" si="553"/>
        <v>30000</v>
      </c>
      <c r="BU136" s="15">
        <f>BR136+BT136</f>
        <v>30000</v>
      </c>
      <c r="BX136" s="15">
        <f>BU136+BW136</f>
        <v>30000</v>
      </c>
      <c r="CA136" s="15">
        <f>BX136+BZ136</f>
        <v>30000</v>
      </c>
      <c r="CD136" s="15">
        <f>CA136+CC136</f>
        <v>30000</v>
      </c>
      <c r="CG136" s="15">
        <f>CD136+CF136</f>
        <v>30000</v>
      </c>
      <c r="CI136" s="227">
        <v>-18000</v>
      </c>
      <c r="CJ136" s="15">
        <f>CG136+CI136</f>
        <v>12000</v>
      </c>
      <c r="CM136" s="15">
        <f>CJ136+CL136</f>
        <v>12000</v>
      </c>
      <c r="CP136" s="15">
        <f>CM136+CO136</f>
        <v>12000</v>
      </c>
      <c r="CS136" s="15">
        <f>CP136+CR136</f>
        <v>12000</v>
      </c>
      <c r="CU136" s="227">
        <v>-1500</v>
      </c>
      <c r="CV136" s="15">
        <f>CS136+CU136</f>
        <v>10500</v>
      </c>
      <c r="CX136" s="227"/>
      <c r="CY136" s="15">
        <f>CV136+CX136</f>
        <v>10500</v>
      </c>
      <c r="DA136" s="15">
        <v>10164</v>
      </c>
      <c r="DC136" s="15">
        <v>10000</v>
      </c>
      <c r="DE136" s="15"/>
      <c r="DF136" s="15">
        <f t="shared" si="554"/>
        <v>10000</v>
      </c>
      <c r="DH136" s="15"/>
      <c r="DI136" s="15">
        <f t="shared" si="533"/>
        <v>10000</v>
      </c>
      <c r="DK136" s="15"/>
      <c r="DL136" s="15">
        <f t="shared" si="534"/>
        <v>10000</v>
      </c>
      <c r="DN136" s="15"/>
      <c r="DO136" s="15">
        <f t="shared" si="535"/>
        <v>10000</v>
      </c>
      <c r="DQ136" s="227">
        <v>15000</v>
      </c>
      <c r="DR136" s="15">
        <f t="shared" si="536"/>
        <v>25000</v>
      </c>
      <c r="DT136" s="227">
        <v>5000</v>
      </c>
      <c r="DU136" s="15">
        <f t="shared" si="537"/>
        <v>30000</v>
      </c>
      <c r="DW136" s="15"/>
      <c r="DX136" s="15">
        <f t="shared" si="538"/>
        <v>30000</v>
      </c>
      <c r="DZ136" s="15"/>
      <c r="EA136" s="15">
        <f t="shared" si="539"/>
        <v>30000</v>
      </c>
      <c r="EC136" s="227">
        <v>-4000</v>
      </c>
      <c r="ED136" s="15">
        <f t="shared" si="540"/>
        <v>26000</v>
      </c>
      <c r="EF136" s="15"/>
      <c r="EG136" s="15">
        <f t="shared" si="541"/>
        <v>26000</v>
      </c>
      <c r="EI136" s="15">
        <v>25725.81</v>
      </c>
      <c r="EK136" s="15">
        <v>30000</v>
      </c>
      <c r="EM136" s="15"/>
      <c r="EN136" s="15">
        <f t="shared" si="542"/>
        <v>30000</v>
      </c>
      <c r="EP136" s="15"/>
      <c r="EQ136" s="15">
        <f t="shared" si="543"/>
        <v>30000</v>
      </c>
      <c r="ES136" s="15"/>
      <c r="ET136" s="15">
        <f t="shared" si="544"/>
        <v>30000</v>
      </c>
      <c r="EW136" s="15">
        <f t="shared" si="545"/>
        <v>30000</v>
      </c>
      <c r="EZ136" s="15">
        <f t="shared" si="546"/>
        <v>30000</v>
      </c>
      <c r="FC136" s="15">
        <f t="shared" si="547"/>
        <v>30000</v>
      </c>
      <c r="FF136" s="15">
        <f t="shared" si="548"/>
        <v>30000</v>
      </c>
      <c r="FI136" s="15">
        <f t="shared" si="549"/>
        <v>30000</v>
      </c>
      <c r="FK136" s="227">
        <v>-15000</v>
      </c>
      <c r="FL136" s="15">
        <f t="shared" si="550"/>
        <v>15000</v>
      </c>
      <c r="FO136" s="15">
        <f t="shared" si="551"/>
        <v>15000</v>
      </c>
      <c r="FR136" s="15">
        <v>15000</v>
      </c>
      <c r="FT136" s="15">
        <v>5989.5</v>
      </c>
      <c r="FV136" s="15">
        <v>15000</v>
      </c>
      <c r="FW136" s="235">
        <f t="shared" ref="FW136" si="564">FV136/FT136</f>
        <v>2.504382669671926</v>
      </c>
    </row>
    <row r="137" spans="1:181" ht="13.5" customHeight="1" outlineLevel="1">
      <c r="A137" s="1" t="s">
        <v>175</v>
      </c>
      <c r="B137" s="4" t="s">
        <v>46</v>
      </c>
      <c r="C137" s="4" t="s">
        <v>176</v>
      </c>
      <c r="D137" s="43">
        <v>63500</v>
      </c>
      <c r="E137" s="34">
        <v>72.95</v>
      </c>
      <c r="F137" s="43">
        <v>73500</v>
      </c>
      <c r="G137" s="34">
        <v>63.02</v>
      </c>
      <c r="H137" s="46">
        <v>46320.21</v>
      </c>
      <c r="I137" s="36"/>
      <c r="J137" s="14"/>
      <c r="Y137" s="118"/>
      <c r="AF137" s="182"/>
      <c r="AH137" s="15"/>
      <c r="AX137" s="15"/>
      <c r="BD137" s="15"/>
      <c r="BG137" s="15"/>
      <c r="DE137" s="15"/>
      <c r="DH137" s="15"/>
      <c r="DK137" s="15"/>
      <c r="DN137" s="15"/>
      <c r="DQ137" s="15"/>
      <c r="DT137" s="15"/>
      <c r="DW137" s="15"/>
      <c r="DZ137" s="15"/>
      <c r="EC137" s="15"/>
      <c r="EF137" s="15"/>
      <c r="EK137" s="15"/>
      <c r="EM137" s="15"/>
      <c r="EP137" s="15"/>
      <c r="ES137" s="15"/>
    </row>
    <row r="138" spans="1:181" ht="15.75" customHeight="1" thickBot="1">
      <c r="A138" s="54" t="s">
        <v>175</v>
      </c>
      <c r="B138" s="55" t="s">
        <v>316</v>
      </c>
      <c r="C138" s="283" t="s">
        <v>176</v>
      </c>
      <c r="D138" s="57">
        <f>SUM(D132:D136)</f>
        <v>63500</v>
      </c>
      <c r="E138" s="58"/>
      <c r="F138" s="57">
        <f>SUM(F132:F136)</f>
        <v>73500</v>
      </c>
      <c r="G138" s="58"/>
      <c r="H138" s="57"/>
      <c r="I138" s="57">
        <f>SUM(I132:I136)</f>
        <v>95871</v>
      </c>
      <c r="J138" s="138" t="e">
        <f>I138/$I$332</f>
        <v>#REF!</v>
      </c>
      <c r="K138" s="60"/>
      <c r="L138" s="122">
        <f>SUM(L132:L136)</f>
        <v>66000</v>
      </c>
      <c r="M138" s="61">
        <f>L138/F138-1</f>
        <v>-0.10204081632653061</v>
      </c>
      <c r="N138" s="61">
        <f>L138/I138-1</f>
        <v>-0.31157492881058924</v>
      </c>
      <c r="O138" s="17">
        <f>L138/$L$332</f>
        <v>1.5313225342240841E-2</v>
      </c>
      <c r="P138" s="17"/>
      <c r="Q138" s="122">
        <f>SUM(Q132:Q136)</f>
        <v>66000</v>
      </c>
      <c r="R138" s="122">
        <f>SUM(R132:R136)</f>
        <v>14220</v>
      </c>
      <c r="S138" s="122">
        <f>SUM(S132:S136)</f>
        <v>56000</v>
      </c>
      <c r="T138" s="122">
        <f>SUM(T132:T136)</f>
        <v>-10000</v>
      </c>
      <c r="U138" s="155">
        <f>S138/Q138-1</f>
        <v>-0.15151515151515149</v>
      </c>
      <c r="Y138" s="122">
        <f>SUM(Y132:Y136)</f>
        <v>59000</v>
      </c>
      <c r="AA138" s="122">
        <f>SUM(AA132:AA136)</f>
        <v>86000</v>
      </c>
      <c r="AB138" s="122">
        <f>SUM(AB132:AB136)</f>
        <v>27000</v>
      </c>
      <c r="AE138" s="122">
        <f>SUM(AE132:AE136)</f>
        <v>107300</v>
      </c>
      <c r="AF138" s="182"/>
      <c r="AH138" s="122">
        <f>SUM(AH132:AH136)</f>
        <v>92173.989999999991</v>
      </c>
      <c r="AI138" s="17">
        <f t="shared" ref="AI138:AI139" si="565">AH138/AE138</f>
        <v>0.85903066169617881</v>
      </c>
      <c r="AK138" s="122">
        <f>SUM(AK132:AK136)</f>
        <v>75000</v>
      </c>
      <c r="AL138" s="193">
        <f t="shared" ref="AL138:AL139" si="566">AK138/L138</f>
        <v>1.1363636363636365</v>
      </c>
      <c r="AM138" s="17">
        <f t="shared" ref="AM138:AM139" si="567">AK138/AE138</f>
        <v>0.69897483690587137</v>
      </c>
      <c r="AN138" s="17">
        <f t="shared" ref="AN138:AN139" si="568">AK138/AH138</f>
        <v>0.81367856593817856</v>
      </c>
      <c r="AS138" s="122">
        <f>SUM(AS132:AS136)</f>
        <v>75000</v>
      </c>
      <c r="AU138" s="122">
        <f>SUM(AU132:AU136)</f>
        <v>0</v>
      </c>
      <c r="AV138" s="122">
        <f>SUM(AV132:AV136)</f>
        <v>75000</v>
      </c>
      <c r="AX138" s="122">
        <f>SUM(AX132:AX136)</f>
        <v>49297.26</v>
      </c>
      <c r="AY138" s="122">
        <f>SUM(AY132:AY136)</f>
        <v>124297.26000000001</v>
      </c>
      <c r="BA138" s="122">
        <f>SUM(BA132:BA136)</f>
        <v>0</v>
      </c>
      <c r="BB138" s="122">
        <f>SUM(BB132:BB136)</f>
        <v>124297.26000000001</v>
      </c>
      <c r="BD138" s="122">
        <f>SUM(BD132:BD136)</f>
        <v>25703</v>
      </c>
      <c r="BE138" s="122">
        <f>SUM(BE132:BE136)</f>
        <v>150000.26</v>
      </c>
      <c r="BG138" s="122">
        <f>SUM(BG132:BG136)</f>
        <v>0</v>
      </c>
      <c r="BH138" s="122">
        <f>SUM(BH132:BH136)</f>
        <v>150000.26</v>
      </c>
      <c r="BJ138" s="122">
        <f>SUM(BJ132:BJ136)</f>
        <v>98928.3</v>
      </c>
      <c r="BK138" s="236">
        <f t="shared" ref="BK138:BK139" si="569">BJ138/BH138</f>
        <v>0.65952085683051476</v>
      </c>
      <c r="BM138" s="122">
        <f>SUM(BM132:BM136)</f>
        <v>112800</v>
      </c>
      <c r="BN138" s="236">
        <f t="shared" ref="BN138:BN139" si="570">BM138/BJ138</f>
        <v>1.1402197348989116</v>
      </c>
      <c r="BO138" s="236">
        <f t="shared" ref="BO138:BO139" si="571">BM138/BH138</f>
        <v>0.75199869653559259</v>
      </c>
      <c r="BQ138" s="122">
        <f>SUM(BQ132:BQ136)</f>
        <v>5000</v>
      </c>
      <c r="BR138" s="122">
        <f>SUM(BR132:BR136)</f>
        <v>117800</v>
      </c>
      <c r="BT138" s="122">
        <f>SUM(BT132:BT136)</f>
        <v>0</v>
      </c>
      <c r="BU138" s="122">
        <f>SUM(BU132:BU136)</f>
        <v>117800</v>
      </c>
      <c r="BW138" s="122">
        <f>SUM(BW132:BW136)</f>
        <v>0</v>
      </c>
      <c r="BX138" s="122">
        <f>SUM(BX132:BX136)</f>
        <v>117800</v>
      </c>
      <c r="BZ138" s="122">
        <f>SUM(BZ132:BZ136)</f>
        <v>0</v>
      </c>
      <c r="CA138" s="122">
        <f>SUM(CA132:CA136)</f>
        <v>117800</v>
      </c>
      <c r="CC138" s="122">
        <f>SUM(CC132:CC136)</f>
        <v>0</v>
      </c>
      <c r="CD138" s="122">
        <f>SUM(CD132:CD136)</f>
        <v>117800</v>
      </c>
      <c r="CF138" s="122">
        <f>SUM(CF132:CF136)</f>
        <v>0</v>
      </c>
      <c r="CG138" s="122">
        <f>SUM(CG132:CG136)</f>
        <v>117800</v>
      </c>
      <c r="CI138" s="122">
        <f>SUM(CI132:CI136)</f>
        <v>-18000</v>
      </c>
      <c r="CJ138" s="122">
        <f>SUM(CJ132:CJ136)</f>
        <v>99800</v>
      </c>
      <c r="CL138" s="319">
        <f>SUM(CL132:CL136)</f>
        <v>0</v>
      </c>
      <c r="CM138" s="122">
        <f>SUM(CM132:CM136)</f>
        <v>99800</v>
      </c>
      <c r="CO138" s="122">
        <f>SUM(CO132:CO136)</f>
        <v>6000</v>
      </c>
      <c r="CP138" s="122">
        <f>SUM(CP132:CP136)</f>
        <v>105800</v>
      </c>
      <c r="CR138" s="122">
        <f>SUM(CR132:CR136)</f>
        <v>0</v>
      </c>
      <c r="CS138" s="122">
        <f>SUM(CS132:CS136)</f>
        <v>105800</v>
      </c>
      <c r="CU138" s="122">
        <f>SUM(CU132:CU136)</f>
        <v>-5300</v>
      </c>
      <c r="CV138" s="122">
        <f>SUM(CV132:CV136)</f>
        <v>100500</v>
      </c>
      <c r="CX138" s="122">
        <f>SUM(CX132:CX136)</f>
        <v>0</v>
      </c>
      <c r="CY138" s="122">
        <f>SUM(CY132:CY136)</f>
        <v>100500</v>
      </c>
      <c r="DA138" s="122">
        <f>SUM(DA132:DA136)</f>
        <v>99347.25</v>
      </c>
      <c r="DC138" s="122">
        <f>SUM(DC132:DC136)</f>
        <v>94000</v>
      </c>
      <c r="DE138" s="122">
        <f>SUM(DE132:DE136)</f>
        <v>0</v>
      </c>
      <c r="DF138" s="122">
        <f>SUM(DF132:DF136)</f>
        <v>94000</v>
      </c>
      <c r="DH138" s="122">
        <f>SUM(DH132:DH136)</f>
        <v>0</v>
      </c>
      <c r="DI138" s="122">
        <f>SUM(DI132:DI136)</f>
        <v>94000</v>
      </c>
      <c r="DK138" s="122">
        <f>SUM(DK132:DK136)</f>
        <v>0</v>
      </c>
      <c r="DL138" s="122">
        <f>SUM(DL132:DL136)</f>
        <v>94000</v>
      </c>
      <c r="DN138" s="122">
        <f>SUM(DN132:DN136)</f>
        <v>0</v>
      </c>
      <c r="DO138" s="122">
        <f>SUM(DO132:DO136)</f>
        <v>94000</v>
      </c>
      <c r="DQ138" s="122">
        <f>SUM(DQ132:DQ136)</f>
        <v>15000</v>
      </c>
      <c r="DR138" s="122">
        <f>SUM(DR132:DR136)</f>
        <v>109000</v>
      </c>
      <c r="DT138" s="122">
        <f>SUM(DT132:DT136)</f>
        <v>5000</v>
      </c>
      <c r="DU138" s="122">
        <f>SUM(DU132:DU136)</f>
        <v>114000</v>
      </c>
      <c r="DW138" s="122">
        <f>SUM(DW132:DW136)</f>
        <v>0</v>
      </c>
      <c r="DX138" s="122">
        <f>SUM(DX132:DX136)</f>
        <v>114000</v>
      </c>
      <c r="DZ138" s="122">
        <f>SUM(DZ132:DZ136)</f>
        <v>0</v>
      </c>
      <c r="EA138" s="122">
        <f>SUM(EA132:EA136)</f>
        <v>114000</v>
      </c>
      <c r="EC138" s="122">
        <f>SUM(EC132:EC136)</f>
        <v>-8000</v>
      </c>
      <c r="ED138" s="122">
        <f>SUM(ED132:ED136)</f>
        <v>106000</v>
      </c>
      <c r="EF138" s="122">
        <f>SUM(EF132:EF136)</f>
        <v>-15588</v>
      </c>
      <c r="EG138" s="122">
        <f>SUM(EG132:EG136)</f>
        <v>90412</v>
      </c>
      <c r="EI138" s="122">
        <f>SUM(EI132:EI136)</f>
        <v>82536.81</v>
      </c>
      <c r="EK138" s="122">
        <f>SUM(EK132:EK136)</f>
        <v>90000</v>
      </c>
      <c r="EL138" s="377">
        <f>EK138/EI138-1</f>
        <v>9.0422564186815491E-2</v>
      </c>
      <c r="EM138" s="122">
        <f>SUM(EM132:EM136)</f>
        <v>0</v>
      </c>
      <c r="EN138" s="122">
        <f>SUM(EN132:EN136)</f>
        <v>90000</v>
      </c>
      <c r="EP138" s="122">
        <f>SUM(EP132:EP136)</f>
        <v>0</v>
      </c>
      <c r="EQ138" s="122">
        <f>SUM(EQ132:EQ136)</f>
        <v>90000</v>
      </c>
      <c r="ES138" s="122">
        <f>SUM(ES132:ES136)</f>
        <v>0</v>
      </c>
      <c r="ET138" s="122">
        <f>SUM(ET132:ET136)</f>
        <v>90000</v>
      </c>
      <c r="EV138" s="122">
        <f>SUM(EV132:EV136)</f>
        <v>0</v>
      </c>
      <c r="EW138" s="122">
        <f>SUM(EW132:EW136)</f>
        <v>90000</v>
      </c>
      <c r="EY138" s="122">
        <f>SUM(EY132:EY136)</f>
        <v>0</v>
      </c>
      <c r="EZ138" s="122">
        <f>SUM(EZ132:EZ136)</f>
        <v>90000</v>
      </c>
      <c r="FB138" s="122">
        <f>SUM(FB132:FB136)</f>
        <v>0</v>
      </c>
      <c r="FC138" s="122">
        <f>SUM(FC132:FC136)</f>
        <v>90000</v>
      </c>
      <c r="FE138" s="122">
        <f>SUM(FE132:FE136)</f>
        <v>0</v>
      </c>
      <c r="FF138" s="122">
        <f>SUM(FF132:FF136)</f>
        <v>90000</v>
      </c>
      <c r="FH138" s="122">
        <f>SUM(FH132:FH136)</f>
        <v>0</v>
      </c>
      <c r="FI138" s="122">
        <f>SUM(FI132:FI136)</f>
        <v>90000</v>
      </c>
      <c r="FK138" s="122">
        <f>SUM(FK132:FK136)</f>
        <v>-32000</v>
      </c>
      <c r="FL138" s="122">
        <f>SUM(FL132:FL136)</f>
        <v>58000</v>
      </c>
      <c r="FN138" s="122">
        <f>SUM(FN132:FN136)</f>
        <v>0</v>
      </c>
      <c r="FO138" s="122">
        <f>SUM(FO132:FO136)</f>
        <v>58000</v>
      </c>
      <c r="FQ138" s="122">
        <v>0</v>
      </c>
      <c r="FR138" s="122">
        <v>58000</v>
      </c>
      <c r="FT138" s="122">
        <f>SUM(FT132:FT136)</f>
        <v>48436.5</v>
      </c>
      <c r="FV138" s="122">
        <f>SUM(FV132:FV136)</f>
        <v>60000</v>
      </c>
      <c r="FW138" s="235">
        <f t="shared" ref="FW138:FW139" si="572">FV138/FT138</f>
        <v>1.2387352513084142</v>
      </c>
    </row>
    <row r="139" spans="1:181" ht="17.25" customHeight="1" thickTop="1" thickBot="1">
      <c r="A139" s="64" t="s">
        <v>175</v>
      </c>
      <c r="B139" s="65" t="s">
        <v>357</v>
      </c>
      <c r="C139" s="284" t="s">
        <v>339</v>
      </c>
      <c r="D139" s="66">
        <f>D136</f>
        <v>5000</v>
      </c>
      <c r="E139" s="67"/>
      <c r="F139" s="66">
        <f>F136</f>
        <v>5000</v>
      </c>
      <c r="G139" s="67"/>
      <c r="H139" s="66"/>
      <c r="I139" s="66">
        <f>I136</f>
        <v>20301</v>
      </c>
      <c r="J139" s="68"/>
      <c r="K139" s="69"/>
      <c r="L139" s="123">
        <f>L136</f>
        <v>10000</v>
      </c>
      <c r="M139" s="70">
        <f>L139/F139-1</f>
        <v>1</v>
      </c>
      <c r="N139" s="70">
        <f>L139/I139-1</f>
        <v>-0.50741342790995514</v>
      </c>
      <c r="Q139" s="123">
        <f>Q136</f>
        <v>10000</v>
      </c>
      <c r="R139" s="123">
        <f>R136</f>
        <v>0</v>
      </c>
      <c r="S139" s="123">
        <f>S136</f>
        <v>10000</v>
      </c>
      <c r="T139" s="123">
        <f>T136</f>
        <v>0</v>
      </c>
      <c r="U139" s="155">
        <f>S139/Q139-1</f>
        <v>0</v>
      </c>
      <c r="Y139" s="123">
        <f>Y136</f>
        <v>10000</v>
      </c>
      <c r="AA139" s="123">
        <f>AA136</f>
        <v>10000</v>
      </c>
      <c r="AB139" s="123">
        <f>AB136</f>
        <v>0</v>
      </c>
      <c r="AE139" s="123">
        <f>AE136</f>
        <v>31300</v>
      </c>
      <c r="AF139" s="182"/>
      <c r="AH139" s="123">
        <f>AH136</f>
        <v>31258.43</v>
      </c>
      <c r="AI139" s="17">
        <f t="shared" si="565"/>
        <v>0.99867188498402559</v>
      </c>
      <c r="AK139" s="123">
        <f>AK136</f>
        <v>40000</v>
      </c>
      <c r="AL139" s="193">
        <f t="shared" si="566"/>
        <v>4</v>
      </c>
      <c r="AM139" s="17">
        <f t="shared" si="567"/>
        <v>1.2779552715654952</v>
      </c>
      <c r="AN139" s="17">
        <f t="shared" si="568"/>
        <v>1.2796548003210653</v>
      </c>
      <c r="AS139" s="123">
        <f>AS136</f>
        <v>40000</v>
      </c>
      <c r="AU139" s="123">
        <f>AU136</f>
        <v>0</v>
      </c>
      <c r="AV139" s="123">
        <f>AV136</f>
        <v>40000</v>
      </c>
      <c r="AX139" s="123">
        <f>AX136</f>
        <v>49297.26</v>
      </c>
      <c r="AY139" s="123">
        <f>AY136</f>
        <v>89297.260000000009</v>
      </c>
      <c r="BA139" s="123">
        <f>BA136</f>
        <v>0</v>
      </c>
      <c r="BB139" s="123">
        <f>BB136</f>
        <v>89297.260000000009</v>
      </c>
      <c r="BD139" s="123">
        <f>BD136</f>
        <v>5703</v>
      </c>
      <c r="BE139" s="123">
        <f>BE136</f>
        <v>95000.260000000009</v>
      </c>
      <c r="BG139" s="123">
        <f>BG136</f>
        <v>0</v>
      </c>
      <c r="BH139" s="123">
        <f>BH136</f>
        <v>95000.260000000009</v>
      </c>
      <c r="BJ139" s="123">
        <f>BJ136</f>
        <v>55732.3</v>
      </c>
      <c r="BK139" s="236">
        <f t="shared" si="569"/>
        <v>0.58665418389381252</v>
      </c>
      <c r="BM139" s="123">
        <f>BM136</f>
        <v>30000</v>
      </c>
      <c r="BN139" s="236">
        <f t="shared" si="570"/>
        <v>0.53828749217240268</v>
      </c>
      <c r="BO139" s="236">
        <f t="shared" si="571"/>
        <v>0.31578860942064785</v>
      </c>
      <c r="BQ139" s="123">
        <f>BQ136</f>
        <v>0</v>
      </c>
      <c r="BR139" s="123">
        <f>BR136</f>
        <v>30000</v>
      </c>
      <c r="BT139" s="123">
        <f>BT136</f>
        <v>0</v>
      </c>
      <c r="BU139" s="123">
        <f>BU136</f>
        <v>30000</v>
      </c>
      <c r="BW139" s="123">
        <f>BW136</f>
        <v>0</v>
      </c>
      <c r="BX139" s="123">
        <f>BX136</f>
        <v>30000</v>
      </c>
      <c r="BZ139" s="123">
        <f>BZ136</f>
        <v>0</v>
      </c>
      <c r="CA139" s="123">
        <f>CA136</f>
        <v>30000</v>
      </c>
      <c r="CC139" s="123">
        <f>CC136</f>
        <v>0</v>
      </c>
      <c r="CD139" s="123">
        <f>CD136</f>
        <v>30000</v>
      </c>
      <c r="CF139" s="123">
        <f>CF136</f>
        <v>0</v>
      </c>
      <c r="CG139" s="123">
        <f>CG136</f>
        <v>30000</v>
      </c>
      <c r="CI139" s="123">
        <f>CI136</f>
        <v>-18000</v>
      </c>
      <c r="CJ139" s="123">
        <f>CJ136</f>
        <v>12000</v>
      </c>
      <c r="CL139" s="319">
        <f>CL136</f>
        <v>0</v>
      </c>
      <c r="CM139" s="123">
        <f>CM136</f>
        <v>12000</v>
      </c>
      <c r="CO139" s="123">
        <f>CO136</f>
        <v>0</v>
      </c>
      <c r="CP139" s="123">
        <f>CP136</f>
        <v>12000</v>
      </c>
      <c r="CR139" s="123">
        <f>CR136</f>
        <v>0</v>
      </c>
      <c r="CS139" s="123">
        <f>CS136</f>
        <v>12000</v>
      </c>
      <c r="CU139" s="123">
        <f>CU136</f>
        <v>-1500</v>
      </c>
      <c r="CV139" s="123">
        <f>CV136</f>
        <v>10500</v>
      </c>
      <c r="CX139" s="123">
        <f>CX136</f>
        <v>0</v>
      </c>
      <c r="CY139" s="123">
        <f>CY136</f>
        <v>10500</v>
      </c>
      <c r="DA139" s="123">
        <f>DA136</f>
        <v>10164</v>
      </c>
      <c r="DC139" s="123">
        <f>DC136</f>
        <v>10000</v>
      </c>
      <c r="DE139" s="123">
        <f>DE136</f>
        <v>0</v>
      </c>
      <c r="DF139" s="123">
        <f>DF136</f>
        <v>10000</v>
      </c>
      <c r="DH139" s="123">
        <f>DH136</f>
        <v>0</v>
      </c>
      <c r="DI139" s="123">
        <f>DI136</f>
        <v>10000</v>
      </c>
      <c r="DK139" s="123">
        <f>DK136</f>
        <v>0</v>
      </c>
      <c r="DL139" s="123">
        <f>DL136</f>
        <v>10000</v>
      </c>
      <c r="DN139" s="123">
        <f>DN136</f>
        <v>0</v>
      </c>
      <c r="DO139" s="123">
        <f>DO136</f>
        <v>10000</v>
      </c>
      <c r="DQ139" s="123">
        <f>DQ136</f>
        <v>15000</v>
      </c>
      <c r="DR139" s="123">
        <f>DR136</f>
        <v>25000</v>
      </c>
      <c r="DT139" s="123">
        <f>DT136</f>
        <v>5000</v>
      </c>
      <c r="DU139" s="123">
        <f>DU136</f>
        <v>30000</v>
      </c>
      <c r="DW139" s="123">
        <f>DW136</f>
        <v>0</v>
      </c>
      <c r="DX139" s="123">
        <f>DX136</f>
        <v>30000</v>
      </c>
      <c r="DZ139" s="123">
        <f>DZ136</f>
        <v>0</v>
      </c>
      <c r="EA139" s="123">
        <f>EA136</f>
        <v>30000</v>
      </c>
      <c r="EC139" s="123">
        <f>EC136</f>
        <v>-4000</v>
      </c>
      <c r="ED139" s="123">
        <f>ED136</f>
        <v>26000</v>
      </c>
      <c r="EF139" s="123">
        <f>EF136</f>
        <v>0</v>
      </c>
      <c r="EG139" s="123">
        <f>EG136</f>
        <v>26000</v>
      </c>
      <c r="EI139" s="123">
        <f>EI136</f>
        <v>25725.81</v>
      </c>
      <c r="EK139" s="123">
        <f>EK136</f>
        <v>30000</v>
      </c>
      <c r="EL139" s="377">
        <f>EK139/EI139-1</f>
        <v>0.16614403977950531</v>
      </c>
      <c r="EM139" s="123">
        <f>EM136</f>
        <v>0</v>
      </c>
      <c r="EN139" s="123">
        <f>EN136</f>
        <v>30000</v>
      </c>
      <c r="EP139" s="123">
        <f>EP136</f>
        <v>0</v>
      </c>
      <c r="EQ139" s="123">
        <f>EQ136</f>
        <v>30000</v>
      </c>
      <c r="ES139" s="123">
        <f>ES136</f>
        <v>0</v>
      </c>
      <c r="ET139" s="123">
        <f>ET136</f>
        <v>30000</v>
      </c>
      <c r="EV139" s="123">
        <f>EV136</f>
        <v>0</v>
      </c>
      <c r="EW139" s="123">
        <f>EW136</f>
        <v>30000</v>
      </c>
      <c r="EY139" s="123">
        <f>EY136</f>
        <v>0</v>
      </c>
      <c r="EZ139" s="123">
        <f>EZ136</f>
        <v>30000</v>
      </c>
      <c r="FB139" s="123">
        <f>FB136</f>
        <v>0</v>
      </c>
      <c r="FC139" s="123">
        <f>FC136</f>
        <v>30000</v>
      </c>
      <c r="FE139" s="123">
        <f>FE136</f>
        <v>0</v>
      </c>
      <c r="FF139" s="123">
        <f>FF136</f>
        <v>30000</v>
      </c>
      <c r="FH139" s="123">
        <f>FH136</f>
        <v>0</v>
      </c>
      <c r="FI139" s="123">
        <f>FI136</f>
        <v>30000</v>
      </c>
      <c r="FK139" s="123">
        <f>FK136</f>
        <v>-15000</v>
      </c>
      <c r="FL139" s="123">
        <f>FL136</f>
        <v>15000</v>
      </c>
      <c r="FN139" s="123">
        <f>FN136</f>
        <v>0</v>
      </c>
      <c r="FO139" s="123">
        <f>FO136</f>
        <v>15000</v>
      </c>
      <c r="FQ139" s="123">
        <v>0</v>
      </c>
      <c r="FR139" s="123">
        <v>15000</v>
      </c>
      <c r="FT139" s="123">
        <f>FT136</f>
        <v>5989.5</v>
      </c>
      <c r="FV139" s="123">
        <f>FV136</f>
        <v>15000</v>
      </c>
      <c r="FW139" s="235">
        <f t="shared" si="572"/>
        <v>2.504382669671926</v>
      </c>
    </row>
    <row r="140" spans="1:181" s="229" customFormat="1" ht="18.75" customHeight="1" thickTop="1">
      <c r="A140" s="12">
        <v>3636</v>
      </c>
      <c r="B140">
        <v>6121</v>
      </c>
      <c r="C140" s="4" t="s">
        <v>209</v>
      </c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 s="182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 s="15">
        <v>2500</v>
      </c>
      <c r="BH140" s="15">
        <f t="shared" ref="BH140" si="573">BE140+BG140</f>
        <v>2500</v>
      </c>
      <c r="BI140"/>
      <c r="BJ140" s="15">
        <v>2420</v>
      </c>
      <c r="BK140" s="235">
        <f t="shared" ref="BK140:BK143" si="574">BJ140/BH140</f>
        <v>0.96799999999999997</v>
      </c>
      <c r="BL140" s="238"/>
      <c r="BM140" s="15">
        <v>2500</v>
      </c>
      <c r="BN140" s="235">
        <f t="shared" ref="BN140:BN147" si="575">BM140/BJ140</f>
        <v>1.0330578512396693</v>
      </c>
      <c r="BO140" s="235">
        <f t="shared" ref="BO140:BO147" si="576">BM140/BH140</f>
        <v>1</v>
      </c>
      <c r="BQ140" s="15"/>
      <c r="BR140" s="15">
        <f t="shared" ref="BR140:BR141" si="577">BM140+BQ140</f>
        <v>2500</v>
      </c>
      <c r="BT140" s="15"/>
      <c r="BU140" s="15">
        <f>BR140+BT140</f>
        <v>2500</v>
      </c>
      <c r="BW140" s="15"/>
      <c r="BX140" s="15">
        <f>BU140+BW140</f>
        <v>2500</v>
      </c>
      <c r="BZ140" s="15"/>
      <c r="CA140" s="15">
        <f>BX140+BZ140</f>
        <v>2500</v>
      </c>
      <c r="CC140" s="15"/>
      <c r="CD140" s="15">
        <f>CA140+CC140</f>
        <v>2500</v>
      </c>
      <c r="CF140" s="15"/>
      <c r="CG140" s="15">
        <f>CD140+CF140</f>
        <v>2500</v>
      </c>
      <c r="CH140"/>
      <c r="CI140" s="15"/>
      <c r="CJ140" s="15">
        <f>CG140+CI140</f>
        <v>2500</v>
      </c>
      <c r="CL140" s="15"/>
      <c r="CM140" s="15">
        <f>CJ140+CL140</f>
        <v>2500</v>
      </c>
      <c r="CO140" s="15"/>
      <c r="CP140" s="15">
        <f>CM140+CO140</f>
        <v>2500</v>
      </c>
      <c r="CR140" s="15"/>
      <c r="CS140" s="15">
        <f>CP140+CR140</f>
        <v>2500</v>
      </c>
      <c r="CU140" s="227">
        <v>-2500</v>
      </c>
      <c r="CV140" s="15">
        <f>CS140+CU140</f>
        <v>0</v>
      </c>
      <c r="CX140" s="227"/>
      <c r="CY140" s="15">
        <f>CV140+CX140</f>
        <v>0</v>
      </c>
      <c r="DA140" s="15">
        <v>0</v>
      </c>
      <c r="DC140" s="15"/>
      <c r="DE140" s="15"/>
      <c r="DF140" s="15">
        <f t="shared" ref="DF140:DF141" si="578">DC140+DE140</f>
        <v>0</v>
      </c>
      <c r="DH140" s="15"/>
      <c r="DI140" s="15">
        <f t="shared" ref="DI140:DI141" si="579">DF140+DH140</f>
        <v>0</v>
      </c>
      <c r="DK140" s="15"/>
      <c r="DL140" s="15">
        <f t="shared" ref="DL140:DL141" si="580">DI140+DK140</f>
        <v>0</v>
      </c>
      <c r="DN140" s="15"/>
      <c r="DO140" s="15">
        <f t="shared" ref="DO140:DO141" si="581">DL140+DN140</f>
        <v>0</v>
      </c>
      <c r="DQ140" s="15"/>
      <c r="DR140" s="15">
        <f t="shared" ref="DR140:DR141" si="582">DO140+DQ140</f>
        <v>0</v>
      </c>
      <c r="DT140" s="15"/>
      <c r="DU140" s="15">
        <f t="shared" ref="DU140:DU141" si="583">DR140+DT140</f>
        <v>0</v>
      </c>
      <c r="DW140" s="15"/>
      <c r="DX140" s="15">
        <f t="shared" ref="DX140:DX141" si="584">DU140+DW140</f>
        <v>0</v>
      </c>
      <c r="DZ140" s="15"/>
      <c r="EA140" s="15">
        <f t="shared" ref="EA140:EA141" si="585">DX140+DZ140</f>
        <v>0</v>
      </c>
      <c r="EC140" s="15"/>
      <c r="ED140" s="15">
        <f t="shared" ref="ED140:ED141" si="586">EA140+EC140</f>
        <v>0</v>
      </c>
      <c r="EF140" s="15"/>
      <c r="EG140" s="15">
        <f t="shared" ref="EG140:EG141" si="587">ED140+EF140</f>
        <v>0</v>
      </c>
      <c r="EI140" s="15"/>
      <c r="EK140" s="15"/>
      <c r="EM140" s="15"/>
      <c r="EN140" s="15">
        <f t="shared" ref="EN140:EN141" si="588">EK140+EM140</f>
        <v>0</v>
      </c>
      <c r="EP140" s="15"/>
      <c r="EQ140" s="15">
        <f t="shared" ref="EQ140:EQ141" si="589">EN140+EP140</f>
        <v>0</v>
      </c>
      <c r="ES140" s="15"/>
      <c r="ET140" s="15">
        <f t="shared" ref="ET140:ET141" si="590">EQ140+ES140</f>
        <v>0</v>
      </c>
      <c r="EV140" s="15"/>
      <c r="EW140" s="15">
        <f t="shared" ref="EW140:EW141" si="591">ET140+EV140</f>
        <v>0</v>
      </c>
      <c r="EY140" s="15"/>
      <c r="EZ140" s="15">
        <f t="shared" ref="EZ140:EZ141" si="592">EW140+EY140</f>
        <v>0</v>
      </c>
      <c r="FB140" s="15"/>
      <c r="FC140" s="15">
        <f t="shared" ref="FC140:FC141" si="593">EZ140+FB140</f>
        <v>0</v>
      </c>
      <c r="FE140" s="15"/>
      <c r="FF140" s="15">
        <f t="shared" ref="FF140:FF141" si="594">FC140+FE140</f>
        <v>0</v>
      </c>
      <c r="FH140" s="15"/>
      <c r="FI140" s="15">
        <f t="shared" ref="FI140:FI141" si="595">FF140+FH140</f>
        <v>0</v>
      </c>
      <c r="FK140" s="15"/>
      <c r="FL140" s="15">
        <f t="shared" ref="FL140:FL141" si="596">FI140+FK140</f>
        <v>0</v>
      </c>
      <c r="FN140" s="15"/>
      <c r="FO140" s="15">
        <f t="shared" ref="FO140:FO141" si="597">FL140+FN140</f>
        <v>0</v>
      </c>
      <c r="FQ140" s="15"/>
      <c r="FR140" s="15">
        <v>0</v>
      </c>
      <c r="FT140" s="15"/>
      <c r="FV140" s="15"/>
      <c r="FY140" s="428"/>
    </row>
    <row r="141" spans="1:181" s="229" customFormat="1" ht="15.75" customHeight="1">
      <c r="A141" s="12">
        <v>3636</v>
      </c>
      <c r="B141" s="1" t="s">
        <v>115</v>
      </c>
      <c r="C141" s="4" t="s">
        <v>116</v>
      </c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 s="182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 s="15"/>
      <c r="BH141" s="15"/>
      <c r="BI141"/>
      <c r="BJ141" s="15"/>
      <c r="BK141" s="235"/>
      <c r="BL141" s="238"/>
      <c r="BM141" s="15">
        <v>311000</v>
      </c>
      <c r="BN141" s="235"/>
      <c r="BO141" s="235"/>
      <c r="BQ141" s="15"/>
      <c r="BR141" s="15">
        <f t="shared" si="577"/>
        <v>311000</v>
      </c>
      <c r="BT141" s="15"/>
      <c r="BU141" s="15">
        <f>BR141+BT141</f>
        <v>311000</v>
      </c>
      <c r="BW141" s="15"/>
      <c r="BX141" s="15">
        <f>BU141+BW141</f>
        <v>311000</v>
      </c>
      <c r="BZ141" s="15"/>
      <c r="CA141" s="15">
        <f>BX141+BZ141</f>
        <v>311000</v>
      </c>
      <c r="CC141" s="15"/>
      <c r="CD141" s="15">
        <f>CA141+CC141</f>
        <v>311000</v>
      </c>
      <c r="CF141" s="15"/>
      <c r="CG141" s="15">
        <f>CD141+CF141</f>
        <v>311000</v>
      </c>
      <c r="CH141"/>
      <c r="CI141" s="15"/>
      <c r="CJ141" s="15">
        <f>CG141+CI141</f>
        <v>311000</v>
      </c>
      <c r="CL141" s="15"/>
      <c r="CM141" s="15">
        <f>CJ141+CL141</f>
        <v>311000</v>
      </c>
      <c r="CO141" s="15"/>
      <c r="CP141" s="15">
        <f>CM141+CO141</f>
        <v>311000</v>
      </c>
      <c r="CR141" s="15"/>
      <c r="CS141" s="15">
        <f>CP141+CR141</f>
        <v>311000</v>
      </c>
      <c r="CU141" s="15"/>
      <c r="CV141" s="15">
        <f>CS141+CU141</f>
        <v>311000</v>
      </c>
      <c r="CX141" s="15"/>
      <c r="CY141" s="15">
        <f>CV141+CX141</f>
        <v>311000</v>
      </c>
      <c r="DA141" s="15">
        <v>205700</v>
      </c>
      <c r="DC141" s="15">
        <v>106000</v>
      </c>
      <c r="DE141" s="15"/>
      <c r="DF141" s="15">
        <f t="shared" si="578"/>
        <v>106000</v>
      </c>
      <c r="DH141" s="227">
        <v>9100</v>
      </c>
      <c r="DI141" s="15">
        <f t="shared" si="579"/>
        <v>115100</v>
      </c>
      <c r="DK141" s="15"/>
      <c r="DL141" s="15">
        <f t="shared" si="580"/>
        <v>115100</v>
      </c>
      <c r="DN141" s="15"/>
      <c r="DO141" s="15">
        <f t="shared" si="581"/>
        <v>115100</v>
      </c>
      <c r="DQ141" s="15"/>
      <c r="DR141" s="15">
        <f t="shared" si="582"/>
        <v>115100</v>
      </c>
      <c r="DT141" s="15"/>
      <c r="DU141" s="15">
        <f t="shared" si="583"/>
        <v>115100</v>
      </c>
      <c r="DW141" s="15"/>
      <c r="DX141" s="15">
        <f t="shared" si="584"/>
        <v>115100</v>
      </c>
      <c r="DZ141" s="15"/>
      <c r="EA141" s="15">
        <f t="shared" si="585"/>
        <v>115100</v>
      </c>
      <c r="EC141" s="227">
        <v>-91500</v>
      </c>
      <c r="ED141" s="15">
        <f t="shared" si="586"/>
        <v>23600</v>
      </c>
      <c r="EF141" s="15"/>
      <c r="EG141" s="15">
        <f t="shared" si="587"/>
        <v>23600</v>
      </c>
      <c r="EI141" s="15">
        <v>23595</v>
      </c>
      <c r="EK141" s="15">
        <v>105500</v>
      </c>
      <c r="EM141" s="15"/>
      <c r="EN141" s="15">
        <f t="shared" si="588"/>
        <v>105500</v>
      </c>
      <c r="EP141" s="15"/>
      <c r="EQ141" s="15">
        <f t="shared" si="589"/>
        <v>105500</v>
      </c>
      <c r="ES141" s="15"/>
      <c r="ET141" s="15">
        <f t="shared" si="590"/>
        <v>105500</v>
      </c>
      <c r="EV141" s="15"/>
      <c r="EW141" s="15">
        <f t="shared" si="591"/>
        <v>105500</v>
      </c>
      <c r="EY141" s="15"/>
      <c r="EZ141" s="15">
        <f t="shared" si="592"/>
        <v>105500</v>
      </c>
      <c r="FB141" s="15"/>
      <c r="FC141" s="15">
        <f t="shared" si="593"/>
        <v>105500</v>
      </c>
      <c r="FE141" s="15"/>
      <c r="FF141" s="15">
        <f t="shared" si="594"/>
        <v>105500</v>
      </c>
      <c r="FH141" s="15"/>
      <c r="FI141" s="15">
        <f t="shared" si="595"/>
        <v>105500</v>
      </c>
      <c r="FK141" s="227">
        <v>-230</v>
      </c>
      <c r="FL141" s="15">
        <f t="shared" si="596"/>
        <v>105270</v>
      </c>
      <c r="FN141" s="15"/>
      <c r="FO141" s="15">
        <f t="shared" si="597"/>
        <v>105270</v>
      </c>
      <c r="FQ141" s="15"/>
      <c r="FR141" s="15">
        <v>105270</v>
      </c>
      <c r="FT141" s="15">
        <v>105270</v>
      </c>
      <c r="FV141" s="227">
        <v>200000</v>
      </c>
      <c r="FW141" s="235">
        <f t="shared" ref="FW141:FW143" si="598">FV141/FT141</f>
        <v>1.8998765080269782</v>
      </c>
      <c r="FY141" s="428"/>
    </row>
    <row r="142" spans="1:181" s="229" customFormat="1" ht="14.25" customHeight="1" thickBot="1">
      <c r="A142" s="54" t="s">
        <v>495</v>
      </c>
      <c r="B142" s="55" t="s">
        <v>316</v>
      </c>
      <c r="C142" s="283" t="s">
        <v>507</v>
      </c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28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2"/>
      <c r="BH142" s="62"/>
      <c r="BI142" s="60"/>
      <c r="BJ142" s="62"/>
      <c r="BK142" s="236"/>
      <c r="BL142" s="281"/>
      <c r="BM142" s="122">
        <f>SUM(BM141)</f>
        <v>311000</v>
      </c>
      <c r="BN142" s="236"/>
      <c r="BO142" s="236"/>
      <c r="BQ142" s="122">
        <f>SUM(BQ141)</f>
        <v>0</v>
      </c>
      <c r="BR142" s="122">
        <f>SUM(BR141)</f>
        <v>311000</v>
      </c>
      <c r="BT142" s="122">
        <f>SUM(BT141)</f>
        <v>0</v>
      </c>
      <c r="BU142" s="122">
        <f>SUM(BU141)</f>
        <v>311000</v>
      </c>
      <c r="BW142" s="122">
        <f>SUM(BW141)</f>
        <v>0</v>
      </c>
      <c r="BX142" s="122">
        <f>SUM(BX141)</f>
        <v>311000</v>
      </c>
      <c r="BZ142" s="122">
        <f>SUM(BZ141)</f>
        <v>0</v>
      </c>
      <c r="CA142" s="122">
        <f>SUM(CA141)</f>
        <v>311000</v>
      </c>
      <c r="CC142" s="122">
        <f>SUM(CC141)</f>
        <v>0</v>
      </c>
      <c r="CD142" s="122">
        <f>SUM(CD141)</f>
        <v>311000</v>
      </c>
      <c r="CF142" s="122">
        <f>SUM(CF141)</f>
        <v>0</v>
      </c>
      <c r="CG142" s="122">
        <f>SUM(CG141)</f>
        <v>311000</v>
      </c>
      <c r="CH142"/>
      <c r="CI142" s="122">
        <f>SUM(CI141)</f>
        <v>0</v>
      </c>
      <c r="CJ142" s="122">
        <f>SUM(CJ141)</f>
        <v>311000</v>
      </c>
      <c r="CL142" s="319">
        <f>SUM(CL141)</f>
        <v>0</v>
      </c>
      <c r="CM142" s="122">
        <f>SUM(CM141)</f>
        <v>311000</v>
      </c>
      <c r="CO142" s="122">
        <f>SUM(CO141)</f>
        <v>0</v>
      </c>
      <c r="CP142" s="122">
        <f>SUM(CP141)</f>
        <v>311000</v>
      </c>
      <c r="CR142" s="122">
        <f>SUM(CR141)</f>
        <v>0</v>
      </c>
      <c r="CS142" s="122">
        <f>SUM(CS141)</f>
        <v>311000</v>
      </c>
      <c r="CU142" s="122">
        <f>SUM(CU141)</f>
        <v>0</v>
      </c>
      <c r="CV142" s="122">
        <f>SUM(CV141)</f>
        <v>311000</v>
      </c>
      <c r="CX142" s="122">
        <f>SUM(CX141)</f>
        <v>0</v>
      </c>
      <c r="CY142" s="122">
        <f>SUM(CY141)</f>
        <v>311000</v>
      </c>
      <c r="DA142" s="122">
        <f>SUM(DA141)</f>
        <v>205700</v>
      </c>
      <c r="DC142" s="122">
        <f>SUM(DC141)</f>
        <v>106000</v>
      </c>
      <c r="DE142" s="122">
        <f>SUM(DE141)</f>
        <v>0</v>
      </c>
      <c r="DF142" s="122">
        <f>SUM(DF141)</f>
        <v>106000</v>
      </c>
      <c r="DH142" s="122">
        <f>SUM(DH141)</f>
        <v>9100</v>
      </c>
      <c r="DI142" s="122">
        <f>SUM(DI141)</f>
        <v>115100</v>
      </c>
      <c r="DK142" s="122">
        <f>SUM(DK141)</f>
        <v>0</v>
      </c>
      <c r="DL142" s="122">
        <f>SUM(DL141)</f>
        <v>115100</v>
      </c>
      <c r="DN142" s="122">
        <f>SUM(DN141)</f>
        <v>0</v>
      </c>
      <c r="DO142" s="122">
        <f>SUM(DO141)</f>
        <v>115100</v>
      </c>
      <c r="DQ142" s="122">
        <f>SUM(DQ141)</f>
        <v>0</v>
      </c>
      <c r="DR142" s="122">
        <f>SUM(DR141)</f>
        <v>115100</v>
      </c>
      <c r="DT142" s="122">
        <f>SUM(DT141)</f>
        <v>0</v>
      </c>
      <c r="DU142" s="122">
        <f>SUM(DU141)</f>
        <v>115100</v>
      </c>
      <c r="DW142" s="122">
        <f>SUM(DW141)</f>
        <v>0</v>
      </c>
      <c r="DX142" s="122">
        <f>SUM(DX141)</f>
        <v>115100</v>
      </c>
      <c r="DZ142" s="122">
        <f>SUM(DZ141)</f>
        <v>0</v>
      </c>
      <c r="EA142" s="122">
        <f>SUM(EA141)</f>
        <v>115100</v>
      </c>
      <c r="EC142" s="122">
        <f>SUM(EC141)</f>
        <v>-91500</v>
      </c>
      <c r="ED142" s="122">
        <f>SUM(ED141)</f>
        <v>23600</v>
      </c>
      <c r="EF142" s="122">
        <f>SUM(EF141)</f>
        <v>0</v>
      </c>
      <c r="EG142" s="122">
        <f>SUM(EG141)</f>
        <v>23600</v>
      </c>
      <c r="EI142" s="122">
        <f>SUM(EI141)</f>
        <v>23595</v>
      </c>
      <c r="EK142" s="122">
        <f>SUM(EK141)</f>
        <v>105500</v>
      </c>
      <c r="EL142" s="377">
        <f>EK142/EI142-1</f>
        <v>3.4712862894681074</v>
      </c>
      <c r="EM142" s="122">
        <f>SUM(EM141)</f>
        <v>0</v>
      </c>
      <c r="EN142" s="122">
        <f>SUM(EN141)</f>
        <v>105500</v>
      </c>
      <c r="EP142" s="122">
        <f>SUM(EP141)</f>
        <v>0</v>
      </c>
      <c r="EQ142" s="122">
        <f>SUM(EQ141)</f>
        <v>105500</v>
      </c>
      <c r="ES142" s="122">
        <f>SUM(ES141)</f>
        <v>0</v>
      </c>
      <c r="ET142" s="122">
        <f>SUM(ET141)</f>
        <v>105500</v>
      </c>
      <c r="EV142" s="122">
        <f>SUM(EV141)</f>
        <v>0</v>
      </c>
      <c r="EW142" s="122">
        <f>SUM(EW141)</f>
        <v>105500</v>
      </c>
      <c r="EY142" s="122">
        <f>SUM(EY141)</f>
        <v>0</v>
      </c>
      <c r="EZ142" s="122">
        <f>SUM(EZ141)</f>
        <v>105500</v>
      </c>
      <c r="FB142" s="122">
        <f>SUM(FB141)</f>
        <v>0</v>
      </c>
      <c r="FC142" s="122">
        <f>SUM(FC141)</f>
        <v>105500</v>
      </c>
      <c r="FE142" s="122">
        <f>SUM(FE141)</f>
        <v>0</v>
      </c>
      <c r="FF142" s="122">
        <f>SUM(FF141)</f>
        <v>105500</v>
      </c>
      <c r="FH142" s="122">
        <f>SUM(FH141)</f>
        <v>0</v>
      </c>
      <c r="FI142" s="122">
        <f>SUM(FI141)</f>
        <v>105500</v>
      </c>
      <c r="FK142" s="122">
        <f>SUM(FK141)</f>
        <v>-230</v>
      </c>
      <c r="FL142" s="122">
        <f>SUM(FL141)</f>
        <v>105270</v>
      </c>
      <c r="FN142" s="122">
        <f>SUM(FN141)</f>
        <v>0</v>
      </c>
      <c r="FO142" s="122">
        <f>SUM(FO141)</f>
        <v>105270</v>
      </c>
      <c r="FQ142" s="122">
        <v>0</v>
      </c>
      <c r="FR142" s="122">
        <v>105270</v>
      </c>
      <c r="FT142" s="122">
        <f>SUM(FT141)</f>
        <v>105270</v>
      </c>
      <c r="FV142" s="122">
        <f>SUM(FV141)</f>
        <v>200000</v>
      </c>
      <c r="FW142" s="235">
        <f t="shared" si="598"/>
        <v>1.8998765080269782</v>
      </c>
      <c r="FY142" s="428"/>
    </row>
    <row r="143" spans="1:181" s="229" customFormat="1" ht="15" customHeight="1" thickTop="1" thickBot="1">
      <c r="A143" s="275" t="s">
        <v>495</v>
      </c>
      <c r="B143" s="276" t="s">
        <v>277</v>
      </c>
      <c r="C143" s="286" t="s">
        <v>507</v>
      </c>
      <c r="D143"/>
      <c r="E143"/>
      <c r="F143"/>
      <c r="G143"/>
      <c r="H143"/>
      <c r="I143"/>
      <c r="J143"/>
      <c r="K143"/>
      <c r="L143" s="277">
        <f>L140</f>
        <v>0</v>
      </c>
      <c r="M143" s="278" t="e">
        <f t="shared" ref="M143" si="599">L143/F143-1</f>
        <v>#DIV/0!</v>
      </c>
      <c r="N143" s="278" t="e">
        <f t="shared" ref="N143" si="600">L143/I143-1</f>
        <v>#DIV/0!</v>
      </c>
      <c r="O143"/>
      <c r="P143"/>
      <c r="Q143" s="277">
        <f t="shared" ref="Q143:T143" si="601">Q137</f>
        <v>0</v>
      </c>
      <c r="R143" s="277">
        <f t="shared" si="601"/>
        <v>0</v>
      </c>
      <c r="S143" s="277">
        <f t="shared" si="601"/>
        <v>0</v>
      </c>
      <c r="T143" s="277">
        <f t="shared" si="601"/>
        <v>0</v>
      </c>
      <c r="U143" s="156" t="e">
        <f t="shared" ref="U143" si="602">S143/Q143-1</f>
        <v>#DIV/0!</v>
      </c>
      <c r="V143" s="140"/>
      <c r="W143"/>
      <c r="X143"/>
      <c r="Y143" s="277">
        <f>Y137</f>
        <v>0</v>
      </c>
      <c r="Z143"/>
      <c r="AA143" s="277">
        <f>AA137</f>
        <v>0</v>
      </c>
      <c r="AB143" s="277">
        <f>AB137</f>
        <v>0</v>
      </c>
      <c r="AC143" s="188"/>
      <c r="AD143" s="188"/>
      <c r="AE143" s="277">
        <f t="shared" ref="AE143:BH143" si="603">AE140</f>
        <v>0</v>
      </c>
      <c r="AF143" s="182"/>
      <c r="AG143" s="277">
        <f t="shared" si="603"/>
        <v>0</v>
      </c>
      <c r="AH143" s="277">
        <f t="shared" si="603"/>
        <v>0</v>
      </c>
      <c r="AI143"/>
      <c r="AJ143"/>
      <c r="AK143" s="277">
        <f t="shared" si="603"/>
        <v>0</v>
      </c>
      <c r="AL143" s="277">
        <f t="shared" si="603"/>
        <v>0</v>
      </c>
      <c r="AM143" s="277">
        <f t="shared" si="603"/>
        <v>0</v>
      </c>
      <c r="AN143" s="277">
        <f t="shared" si="603"/>
        <v>0</v>
      </c>
      <c r="AO143" s="277">
        <f t="shared" si="603"/>
        <v>0</v>
      </c>
      <c r="AP143" s="277">
        <f t="shared" si="603"/>
        <v>0</v>
      </c>
      <c r="AQ143" s="277">
        <f t="shared" si="603"/>
        <v>0</v>
      </c>
      <c r="AR143" s="277">
        <f t="shared" si="603"/>
        <v>0</v>
      </c>
      <c r="AS143" s="277">
        <f t="shared" si="603"/>
        <v>0</v>
      </c>
      <c r="AT143" s="277">
        <f t="shared" si="603"/>
        <v>0</v>
      </c>
      <c r="AU143" s="277">
        <f t="shared" si="603"/>
        <v>0</v>
      </c>
      <c r="AV143" s="277">
        <f t="shared" si="603"/>
        <v>0</v>
      </c>
      <c r="AW143" s="277">
        <f t="shared" si="603"/>
        <v>0</v>
      </c>
      <c r="AX143" s="277">
        <f t="shared" si="603"/>
        <v>0</v>
      </c>
      <c r="AY143" s="277">
        <f t="shared" si="603"/>
        <v>0</v>
      </c>
      <c r="AZ143"/>
      <c r="BA143" s="277">
        <f t="shared" si="603"/>
        <v>0</v>
      </c>
      <c r="BB143" s="277">
        <f t="shared" si="603"/>
        <v>0</v>
      </c>
      <c r="BC143"/>
      <c r="BD143" s="277">
        <f t="shared" si="603"/>
        <v>0</v>
      </c>
      <c r="BE143" s="277">
        <f t="shared" si="603"/>
        <v>0</v>
      </c>
      <c r="BF143"/>
      <c r="BG143" s="277">
        <f t="shared" si="603"/>
        <v>2500</v>
      </c>
      <c r="BH143" s="277">
        <f t="shared" si="603"/>
        <v>2500</v>
      </c>
      <c r="BI143"/>
      <c r="BJ143" s="277">
        <f t="shared" ref="BJ143" si="604">BJ140</f>
        <v>2420</v>
      </c>
      <c r="BK143" s="279">
        <f t="shared" si="574"/>
        <v>0.96799999999999997</v>
      </c>
      <c r="BL143" s="238"/>
      <c r="BM143" s="277">
        <f t="shared" ref="BM143" si="605">BM140</f>
        <v>2500</v>
      </c>
      <c r="BN143" s="279">
        <f t="shared" si="575"/>
        <v>1.0330578512396693</v>
      </c>
      <c r="BO143" s="279">
        <f t="shared" si="576"/>
        <v>1</v>
      </c>
      <c r="BQ143" s="277">
        <f t="shared" ref="BQ143:BR143" si="606">BQ140</f>
        <v>0</v>
      </c>
      <c r="BR143" s="277">
        <f t="shared" si="606"/>
        <v>2500</v>
      </c>
      <c r="BT143" s="277">
        <f t="shared" ref="BT143:BU143" si="607">BT140</f>
        <v>0</v>
      </c>
      <c r="BU143" s="277">
        <f t="shared" si="607"/>
        <v>2500</v>
      </c>
      <c r="BW143" s="277">
        <f t="shared" ref="BW143:BX143" si="608">BW140</f>
        <v>0</v>
      </c>
      <c r="BX143" s="277">
        <f t="shared" si="608"/>
        <v>2500</v>
      </c>
      <c r="BZ143" s="277">
        <f t="shared" ref="BZ143:CA143" si="609">BZ140</f>
        <v>0</v>
      </c>
      <c r="CA143" s="277">
        <f t="shared" si="609"/>
        <v>2500</v>
      </c>
      <c r="CC143" s="277">
        <f t="shared" ref="CC143:CD143" si="610">CC140</f>
        <v>0</v>
      </c>
      <c r="CD143" s="277">
        <f t="shared" si="610"/>
        <v>2500</v>
      </c>
      <c r="CF143" s="277">
        <f t="shared" ref="CF143:CG143" si="611">CF140</f>
        <v>0</v>
      </c>
      <c r="CG143" s="277">
        <f t="shared" si="611"/>
        <v>2500</v>
      </c>
      <c r="CH143"/>
      <c r="CI143" s="277">
        <f t="shared" ref="CI143:CJ143" si="612">CI140</f>
        <v>0</v>
      </c>
      <c r="CJ143" s="277">
        <f t="shared" si="612"/>
        <v>2500</v>
      </c>
      <c r="CL143" s="320">
        <f t="shared" ref="CL143:CM143" si="613">CL140</f>
        <v>0</v>
      </c>
      <c r="CM143" s="277">
        <f t="shared" si="613"/>
        <v>2500</v>
      </c>
      <c r="CO143" s="277">
        <f t="shared" ref="CO143:CP143" si="614">CO140</f>
        <v>0</v>
      </c>
      <c r="CP143" s="277">
        <f t="shared" si="614"/>
        <v>2500</v>
      </c>
      <c r="CQ143"/>
      <c r="CR143" s="277">
        <f t="shared" ref="CR143:CS143" si="615">CR140</f>
        <v>0</v>
      </c>
      <c r="CS143" s="277">
        <f t="shared" si="615"/>
        <v>2500</v>
      </c>
      <c r="CU143" s="277">
        <f t="shared" ref="CU143:CV143" si="616">CU140</f>
        <v>-2500</v>
      </c>
      <c r="CV143" s="277">
        <f t="shared" si="616"/>
        <v>0</v>
      </c>
      <c r="CX143" s="277">
        <f t="shared" ref="CX143:CY143" si="617">CX140</f>
        <v>0</v>
      </c>
      <c r="CY143" s="277">
        <f t="shared" si="617"/>
        <v>0</v>
      </c>
      <c r="DA143" s="277">
        <f t="shared" ref="DA143:DC143" si="618">DA140</f>
        <v>0</v>
      </c>
      <c r="DC143" s="277">
        <f t="shared" si="618"/>
        <v>0</v>
      </c>
      <c r="DE143" s="277">
        <f t="shared" ref="DE143:DF143" si="619">DE140</f>
        <v>0</v>
      </c>
      <c r="DF143" s="277">
        <f t="shared" si="619"/>
        <v>0</v>
      </c>
      <c r="DH143" s="277">
        <f t="shared" ref="DH143:DI143" si="620">DH140</f>
        <v>0</v>
      </c>
      <c r="DI143" s="277">
        <f t="shared" si="620"/>
        <v>0</v>
      </c>
      <c r="DK143" s="277">
        <f t="shared" ref="DK143:DL143" si="621">DK140</f>
        <v>0</v>
      </c>
      <c r="DL143" s="277">
        <f t="shared" si="621"/>
        <v>0</v>
      </c>
      <c r="DN143" s="277">
        <f t="shared" ref="DN143:DO143" si="622">DN140</f>
        <v>0</v>
      </c>
      <c r="DO143" s="277">
        <f t="shared" si="622"/>
        <v>0</v>
      </c>
      <c r="DQ143" s="277">
        <f t="shared" ref="DQ143:DR143" si="623">DQ140</f>
        <v>0</v>
      </c>
      <c r="DR143" s="277">
        <f t="shared" si="623"/>
        <v>0</v>
      </c>
      <c r="DT143" s="277">
        <f t="shared" ref="DT143:DU143" si="624">DT140</f>
        <v>0</v>
      </c>
      <c r="DU143" s="277">
        <f t="shared" si="624"/>
        <v>0</v>
      </c>
      <c r="DW143" s="277">
        <f t="shared" ref="DW143:DX143" si="625">DW140</f>
        <v>0</v>
      </c>
      <c r="DX143" s="277">
        <f t="shared" si="625"/>
        <v>0</v>
      </c>
      <c r="DZ143" s="277">
        <f t="shared" ref="DZ143:EA143" si="626">DZ140</f>
        <v>0</v>
      </c>
      <c r="EA143" s="277">
        <f t="shared" si="626"/>
        <v>0</v>
      </c>
      <c r="EC143" s="277">
        <f t="shared" ref="EC143:ED143" si="627">EC140</f>
        <v>0</v>
      </c>
      <c r="ED143" s="277">
        <f t="shared" si="627"/>
        <v>0</v>
      </c>
      <c r="EF143" s="277">
        <f t="shared" ref="EF143:EG143" si="628">EF140</f>
        <v>0</v>
      </c>
      <c r="EG143" s="277">
        <f t="shared" si="628"/>
        <v>0</v>
      </c>
      <c r="EI143" s="277">
        <f t="shared" ref="EI143:EK143" si="629">EI140</f>
        <v>0</v>
      </c>
      <c r="EK143" s="277">
        <f t="shared" si="629"/>
        <v>0</v>
      </c>
      <c r="EM143" s="277">
        <f t="shared" ref="EM143:EN143" si="630">EM140</f>
        <v>0</v>
      </c>
      <c r="EN143" s="277">
        <f t="shared" si="630"/>
        <v>0</v>
      </c>
      <c r="EP143" s="277">
        <f t="shared" ref="EP143:EQ143" si="631">EP140</f>
        <v>0</v>
      </c>
      <c r="EQ143" s="277">
        <f t="shared" si="631"/>
        <v>0</v>
      </c>
      <c r="ES143" s="277">
        <f t="shared" ref="ES143:ET143" si="632">ES140</f>
        <v>0</v>
      </c>
      <c r="ET143" s="277">
        <f t="shared" si="632"/>
        <v>0</v>
      </c>
      <c r="EV143" s="277">
        <f t="shared" ref="EV143:EW143" si="633">EV140</f>
        <v>0</v>
      </c>
      <c r="EW143" s="277">
        <f t="shared" si="633"/>
        <v>0</v>
      </c>
      <c r="EY143" s="277">
        <f t="shared" ref="EY143:EZ143" si="634">EY140</f>
        <v>0</v>
      </c>
      <c r="EZ143" s="277">
        <f t="shared" si="634"/>
        <v>0</v>
      </c>
      <c r="FB143" s="277">
        <f t="shared" ref="FB143:FC143" si="635">FB140</f>
        <v>0</v>
      </c>
      <c r="FC143" s="277">
        <f t="shared" si="635"/>
        <v>0</v>
      </c>
      <c r="FE143" s="277">
        <f t="shared" ref="FE143:FF143" si="636">FE140</f>
        <v>0</v>
      </c>
      <c r="FF143" s="277">
        <f t="shared" si="636"/>
        <v>0</v>
      </c>
      <c r="FH143" s="277">
        <f t="shared" ref="FH143:FI143" si="637">FH140</f>
        <v>0</v>
      </c>
      <c r="FI143" s="277">
        <f t="shared" si="637"/>
        <v>0</v>
      </c>
      <c r="FK143" s="277">
        <f t="shared" ref="FK143:FL143" si="638">FK140</f>
        <v>0</v>
      </c>
      <c r="FL143" s="277">
        <f t="shared" si="638"/>
        <v>0</v>
      </c>
      <c r="FN143" s="277">
        <f t="shared" ref="FN143:FO143" si="639">FN140</f>
        <v>0</v>
      </c>
      <c r="FO143" s="277">
        <f t="shared" si="639"/>
        <v>0</v>
      </c>
      <c r="FQ143" s="277">
        <v>0</v>
      </c>
      <c r="FR143" s="277">
        <v>0</v>
      </c>
      <c r="FT143" s="277">
        <f>FT140</f>
        <v>0</v>
      </c>
      <c r="FV143" s="277">
        <f>FV140</f>
        <v>0</v>
      </c>
      <c r="FW143" s="235" t="e">
        <f t="shared" si="598"/>
        <v>#DIV/0!</v>
      </c>
      <c r="FY143" s="428"/>
    </row>
    <row r="144" spans="1:181" ht="15.75" outlineLevel="2" thickTop="1">
      <c r="A144" s="1" t="s">
        <v>60</v>
      </c>
      <c r="B144" s="1" t="s">
        <v>115</v>
      </c>
      <c r="C144" s="4" t="s">
        <v>116</v>
      </c>
      <c r="D144" s="43">
        <v>0</v>
      </c>
      <c r="E144" s="34">
        <v>0</v>
      </c>
      <c r="F144" s="43">
        <v>30000</v>
      </c>
      <c r="G144" s="34">
        <v>0</v>
      </c>
      <c r="H144" s="46">
        <v>0</v>
      </c>
      <c r="I144" s="15">
        <v>0</v>
      </c>
      <c r="L144" s="118">
        <v>0</v>
      </c>
      <c r="M144" s="17">
        <f>L144/F144-1</f>
        <v>-1</v>
      </c>
      <c r="N144" s="17" t="e">
        <f>L144/I144-1</f>
        <v>#DIV/0!</v>
      </c>
      <c r="Y144" s="118"/>
      <c r="AF144" s="182"/>
      <c r="AH144" s="15"/>
      <c r="AX144" s="15"/>
      <c r="BD144" s="15"/>
      <c r="BG144" s="15">
        <v>116300</v>
      </c>
      <c r="BH144" s="15">
        <f t="shared" ref="BH144:BH147" si="640">BE144+BG144</f>
        <v>116300</v>
      </c>
      <c r="BJ144" s="15">
        <v>116220.5</v>
      </c>
      <c r="BK144" s="235">
        <f t="shared" ref="BK144:BK147" si="641">BJ144/BH144</f>
        <v>0.99931642304385215</v>
      </c>
      <c r="BM144" s="290">
        <v>500000</v>
      </c>
      <c r="BN144" s="235">
        <f t="shared" si="575"/>
        <v>4.302167001518665</v>
      </c>
      <c r="BO144" s="235">
        <f t="shared" si="576"/>
        <v>4.2992261392949267</v>
      </c>
      <c r="BQ144" s="227">
        <v>-45400</v>
      </c>
      <c r="BR144" s="15">
        <f t="shared" ref="BR144" si="642">BM144+BQ144</f>
        <v>454600</v>
      </c>
      <c r="BT144" s="227">
        <v>-15000</v>
      </c>
      <c r="BU144" s="15">
        <f>BR144+BT144</f>
        <v>439600</v>
      </c>
      <c r="BW144" s="227">
        <v>-211634</v>
      </c>
      <c r="BX144" s="15">
        <f>BU144+BW144</f>
        <v>227966</v>
      </c>
      <c r="BZ144" s="15"/>
      <c r="CA144" s="15">
        <f>BX144+BZ144</f>
        <v>227966</v>
      </c>
      <c r="CC144" s="15"/>
      <c r="CD144" s="15">
        <f>CA144+CC144</f>
        <v>227966</v>
      </c>
      <c r="CF144" s="15">
        <v>-66010</v>
      </c>
      <c r="CG144" s="15">
        <f>CD144+CF144</f>
        <v>161956</v>
      </c>
      <c r="CI144" s="227">
        <v>-34200</v>
      </c>
      <c r="CJ144" s="15">
        <f>CG144+CI144</f>
        <v>127756</v>
      </c>
      <c r="CM144" s="15">
        <f>CJ144+CL144</f>
        <v>127756</v>
      </c>
      <c r="CP144" s="15">
        <f>CM144+CO144</f>
        <v>127756</v>
      </c>
      <c r="CS144" s="15">
        <f>CP144+CR144</f>
        <v>127756</v>
      </c>
      <c r="CV144" s="15">
        <f>CS144+CU144</f>
        <v>127756</v>
      </c>
      <c r="CY144" s="15">
        <f>CV144+CX144</f>
        <v>127756</v>
      </c>
      <c r="DA144" s="15">
        <v>29588</v>
      </c>
      <c r="DC144" s="15">
        <v>620000</v>
      </c>
      <c r="DE144" s="15"/>
      <c r="DF144" s="15">
        <f t="shared" ref="DF144:DF147" si="643">DC144+DE144</f>
        <v>620000</v>
      </c>
      <c r="DH144" s="15"/>
      <c r="DI144" s="15">
        <f t="shared" ref="DI144:DI147" si="644">DF144+DH144</f>
        <v>620000</v>
      </c>
      <c r="DK144" s="15"/>
      <c r="DL144" s="15">
        <f t="shared" ref="DL144:DL147" si="645">DI144+DK144</f>
        <v>620000</v>
      </c>
      <c r="DN144" s="15"/>
      <c r="DO144" s="15">
        <f t="shared" ref="DO144:DO147" si="646">DL144+DN144</f>
        <v>620000</v>
      </c>
      <c r="DQ144" s="15"/>
      <c r="DR144" s="15">
        <f t="shared" ref="DR144:DR147" si="647">DO144+DQ144</f>
        <v>620000</v>
      </c>
      <c r="DT144" s="15"/>
      <c r="DU144" s="15">
        <f t="shared" ref="DU144:DU147" si="648">DR144+DT144</f>
        <v>620000</v>
      </c>
      <c r="DW144" s="227">
        <v>-620000</v>
      </c>
      <c r="DX144" s="15">
        <f t="shared" ref="DX144:DX147" si="649">DU144+DW144</f>
        <v>0</v>
      </c>
      <c r="DZ144" s="15"/>
      <c r="EA144" s="15">
        <f t="shared" ref="EA144" si="650">DX144+DZ144</f>
        <v>0</v>
      </c>
      <c r="EC144" s="15"/>
      <c r="ED144" s="15">
        <f t="shared" ref="ED144" si="651">EA144+EC144</f>
        <v>0</v>
      </c>
      <c r="EF144" s="15"/>
      <c r="EG144" s="15">
        <f t="shared" ref="EG144" si="652">ED144+EF144</f>
        <v>0</v>
      </c>
      <c r="EK144" s="15"/>
      <c r="EM144" s="15"/>
      <c r="EN144" s="15">
        <f t="shared" ref="EN144" si="653">EK144+EM144</f>
        <v>0</v>
      </c>
      <c r="EP144" s="15"/>
      <c r="EQ144" s="15">
        <f t="shared" ref="EQ144" si="654">EN144+EP144</f>
        <v>0</v>
      </c>
      <c r="ES144" s="15"/>
      <c r="ET144" s="15">
        <f t="shared" ref="ET144" si="655">EQ144+ES144</f>
        <v>0</v>
      </c>
      <c r="EW144" s="15">
        <f t="shared" ref="EW144" si="656">ET144+EV144</f>
        <v>0</v>
      </c>
      <c r="EZ144" s="15">
        <f t="shared" ref="EZ144" si="657">EW144+EY144</f>
        <v>0</v>
      </c>
      <c r="FC144" s="15">
        <f t="shared" ref="FC144" si="658">EZ144+FB144</f>
        <v>0</v>
      </c>
      <c r="FF144" s="15">
        <f t="shared" ref="FF144" si="659">FC144+FE144</f>
        <v>0</v>
      </c>
      <c r="FI144" s="15">
        <f t="shared" ref="FI144" si="660">FF144+FH144</f>
        <v>0</v>
      </c>
      <c r="FL144" s="15">
        <f t="shared" ref="FL144" si="661">FI144+FK144</f>
        <v>0</v>
      </c>
      <c r="FO144" s="15">
        <f t="shared" ref="FO144" si="662">FL144+FN144</f>
        <v>0</v>
      </c>
      <c r="FR144" s="15">
        <v>0</v>
      </c>
    </row>
    <row r="145" spans="1:179" outlineLevel="2">
      <c r="A145" s="1" t="s">
        <v>60</v>
      </c>
      <c r="B145" s="1" t="s">
        <v>305</v>
      </c>
      <c r="C145" s="4" t="s">
        <v>306</v>
      </c>
      <c r="D145" s="43">
        <v>0</v>
      </c>
      <c r="E145" s="34">
        <v>0</v>
      </c>
      <c r="F145" s="43">
        <v>0</v>
      </c>
      <c r="G145" s="34">
        <v>0</v>
      </c>
      <c r="H145" s="46">
        <v>26136</v>
      </c>
      <c r="I145" s="36">
        <v>26136</v>
      </c>
      <c r="J145" s="14"/>
      <c r="L145" s="118">
        <f>'[1]2020'!$Q$38</f>
        <v>300000</v>
      </c>
      <c r="M145" s="17" t="e">
        <f>L145/F145-1</f>
        <v>#DIV/0!</v>
      </c>
      <c r="N145" s="17">
        <f>L145/I145-1</f>
        <v>10.478420569329661</v>
      </c>
      <c r="Q145" s="118">
        <v>237000</v>
      </c>
      <c r="R145" s="15">
        <v>0</v>
      </c>
      <c r="S145" s="118">
        <v>0</v>
      </c>
      <c r="T145" s="15">
        <f>S145-Q145</f>
        <v>-237000</v>
      </c>
      <c r="U145" s="16">
        <f>S145/Q145-1</f>
        <v>-1</v>
      </c>
      <c r="V145" s="141">
        <f>L145+W145</f>
        <v>237000</v>
      </c>
      <c r="W145">
        <v>-63000</v>
      </c>
      <c r="Y145" s="118">
        <v>0</v>
      </c>
      <c r="AA145" s="118">
        <v>0</v>
      </c>
      <c r="AC145" s="187">
        <f t="shared" ref="AC145" si="663">AA145-Y145</f>
        <v>0</v>
      </c>
      <c r="AD145" s="187"/>
      <c r="AE145" s="118">
        <v>0</v>
      </c>
      <c r="AF145" s="182"/>
      <c r="AH145" s="15">
        <v>0</v>
      </c>
      <c r="AK145" s="118">
        <v>0</v>
      </c>
      <c r="AS145" s="15">
        <f t="shared" ref="AS145" si="664">AR145+AK145</f>
        <v>0</v>
      </c>
      <c r="AX145" s="15"/>
      <c r="BD145" s="15">
        <v>4000</v>
      </c>
      <c r="BE145" s="15">
        <f t="shared" ref="BE145:BE147" si="665">BB145+BD145</f>
        <v>4000</v>
      </c>
      <c r="BG145" s="15"/>
      <c r="BH145" s="15">
        <f t="shared" si="640"/>
        <v>4000</v>
      </c>
      <c r="BJ145" s="15">
        <v>3630</v>
      </c>
      <c r="BK145" s="235">
        <f t="shared" si="641"/>
        <v>0.90749999999999997</v>
      </c>
      <c r="BM145" s="15"/>
      <c r="BN145" s="235">
        <f t="shared" si="575"/>
        <v>0</v>
      </c>
      <c r="BO145" s="235">
        <f t="shared" si="576"/>
        <v>0</v>
      </c>
      <c r="BQ145" s="15"/>
      <c r="BR145" s="15"/>
      <c r="BT145" s="15"/>
      <c r="BU145" s="15"/>
      <c r="BW145" s="15"/>
      <c r="BX145" s="15"/>
      <c r="BZ145" s="15"/>
      <c r="CA145" s="15"/>
      <c r="CC145" s="15"/>
      <c r="CD145" s="15"/>
      <c r="CF145" s="15"/>
      <c r="CG145" s="15"/>
      <c r="CI145" s="15"/>
      <c r="CJ145" s="15"/>
      <c r="CM145" s="15"/>
      <c r="CP145" s="15"/>
      <c r="CS145" s="15"/>
      <c r="CV145" s="15"/>
      <c r="CY145" s="15"/>
      <c r="DE145" s="15"/>
      <c r="DF145" s="15">
        <f t="shared" si="643"/>
        <v>0</v>
      </c>
      <c r="DH145" s="15"/>
      <c r="DI145" s="15">
        <f t="shared" si="644"/>
        <v>0</v>
      </c>
      <c r="DK145" s="15"/>
      <c r="DL145" s="15">
        <f t="shared" si="645"/>
        <v>0</v>
      </c>
      <c r="DN145" s="15"/>
      <c r="DO145" s="15">
        <f t="shared" si="646"/>
        <v>0</v>
      </c>
      <c r="DQ145" s="15"/>
      <c r="DR145" s="15">
        <f t="shared" si="647"/>
        <v>0</v>
      </c>
      <c r="DT145" s="15"/>
      <c r="DU145" s="15">
        <f t="shared" si="648"/>
        <v>0</v>
      </c>
      <c r="DW145" s="15"/>
      <c r="DX145" s="15">
        <f>DU145+DW145</f>
        <v>0</v>
      </c>
      <c r="DZ145" s="15"/>
      <c r="EA145" s="15">
        <f>DX145+DZ145</f>
        <v>0</v>
      </c>
      <c r="EC145" s="15"/>
      <c r="ED145" s="15">
        <f>EA145+EC145</f>
        <v>0</v>
      </c>
      <c r="EF145" s="15"/>
      <c r="EG145" s="15">
        <f>ED145+EF145</f>
        <v>0</v>
      </c>
      <c r="EK145" s="15"/>
      <c r="EM145" s="15"/>
      <c r="EN145" s="15">
        <f>EK145+EM145</f>
        <v>0</v>
      </c>
      <c r="EP145" s="15"/>
      <c r="EQ145" s="15">
        <f>EN145+EP145</f>
        <v>0</v>
      </c>
      <c r="ES145" s="15"/>
      <c r="ET145" s="15">
        <f>EQ145+ES145</f>
        <v>0</v>
      </c>
      <c r="EW145" s="15">
        <f>ET145+EV145</f>
        <v>0</v>
      </c>
      <c r="EZ145" s="15">
        <f>EW145+EY145</f>
        <v>0</v>
      </c>
      <c r="FC145" s="15">
        <f>EZ145+FB145</f>
        <v>0</v>
      </c>
      <c r="FF145" s="15">
        <f>FC145+FE145</f>
        <v>0</v>
      </c>
      <c r="FI145" s="15">
        <f>FF145+FH145</f>
        <v>0</v>
      </c>
      <c r="FL145" s="15">
        <f>FI145+FK145</f>
        <v>0</v>
      </c>
      <c r="FO145" s="15">
        <f>FL145+FN145</f>
        <v>0</v>
      </c>
      <c r="FR145" s="15">
        <v>0</v>
      </c>
    </row>
    <row r="146" spans="1:179" outlineLevel="2">
      <c r="A146" s="1" t="s">
        <v>60</v>
      </c>
      <c r="B146" s="1" t="s">
        <v>208</v>
      </c>
      <c r="C146" s="4" t="s">
        <v>614</v>
      </c>
      <c r="D146" s="43"/>
      <c r="E146" s="34"/>
      <c r="F146" s="43"/>
      <c r="G146" s="34"/>
      <c r="H146" s="46"/>
      <c r="I146" s="36"/>
      <c r="J146" s="14"/>
      <c r="M146" s="17"/>
      <c r="N146" s="17"/>
      <c r="U146" s="16"/>
      <c r="V146" s="141"/>
      <c r="Y146" s="118"/>
      <c r="AC146" s="187"/>
      <c r="AD146" s="187"/>
      <c r="AF146" s="182"/>
      <c r="AH146" s="15"/>
      <c r="AS146" s="15"/>
      <c r="AX146" s="15"/>
      <c r="BD146" s="15"/>
      <c r="BE146" s="15"/>
      <c r="BG146" s="15"/>
      <c r="BH146" s="15"/>
      <c r="BK146" s="235"/>
      <c r="BM146" s="15"/>
      <c r="BN146" s="235"/>
      <c r="BO146" s="235"/>
      <c r="BQ146" s="15"/>
      <c r="BR146" s="15"/>
      <c r="BT146" s="15"/>
      <c r="BU146" s="15"/>
      <c r="BW146" s="15"/>
      <c r="BX146" s="15"/>
      <c r="BZ146" s="15"/>
      <c r="CA146" s="15"/>
      <c r="CC146" s="15"/>
      <c r="CD146" s="15"/>
      <c r="CF146" s="15"/>
      <c r="CG146" s="15"/>
      <c r="CI146" s="15"/>
      <c r="CJ146" s="15"/>
      <c r="CM146" s="15"/>
      <c r="CP146" s="15"/>
      <c r="CS146" s="15"/>
      <c r="CV146" s="15"/>
      <c r="CY146" s="15"/>
      <c r="DE146" s="15"/>
      <c r="DF146" s="15"/>
      <c r="DH146" s="15"/>
      <c r="DI146" s="15"/>
      <c r="DK146" s="15"/>
      <c r="DL146" s="15"/>
      <c r="DN146" s="15"/>
      <c r="DO146" s="15"/>
      <c r="DQ146" s="15"/>
      <c r="DR146" s="15"/>
      <c r="DT146" s="15"/>
      <c r="DU146" s="15"/>
      <c r="DW146" s="227">
        <v>584000</v>
      </c>
      <c r="DX146" s="15">
        <f t="shared" si="649"/>
        <v>584000</v>
      </c>
      <c r="DZ146" s="15"/>
      <c r="EA146" s="15">
        <f t="shared" ref="EA146:EA147" si="666">DX146+DZ146</f>
        <v>584000</v>
      </c>
      <c r="EC146" s="15"/>
      <c r="ED146" s="15">
        <f t="shared" ref="ED146:ED147" si="667">EA146+EC146</f>
        <v>584000</v>
      </c>
      <c r="EF146" s="227">
        <v>-200000</v>
      </c>
      <c r="EG146" s="15">
        <f t="shared" ref="EG146" si="668">ED146+EF146</f>
        <v>384000</v>
      </c>
      <c r="EI146" s="15">
        <v>84700</v>
      </c>
      <c r="EK146" s="15">
        <v>620000</v>
      </c>
      <c r="EM146" s="15"/>
      <c r="EN146" s="15">
        <f t="shared" ref="EN146:EN147" si="669">EK146+EM146</f>
        <v>620000</v>
      </c>
      <c r="EP146" s="15"/>
      <c r="EQ146" s="15">
        <f t="shared" ref="EQ146:EQ147" si="670">EN146+EP146</f>
        <v>620000</v>
      </c>
      <c r="ES146" s="15"/>
      <c r="ET146" s="15">
        <f t="shared" ref="ET146:ET147" si="671">EQ146+ES146</f>
        <v>620000</v>
      </c>
      <c r="EV146" s="227">
        <v>-120000</v>
      </c>
      <c r="EW146" s="15">
        <f t="shared" ref="EW146:EW147" si="672">ET146+EV146</f>
        <v>500000</v>
      </c>
      <c r="EZ146" s="15">
        <f t="shared" ref="EZ146:EZ147" si="673">EW146+EY146</f>
        <v>500000</v>
      </c>
      <c r="FB146" s="227">
        <v>84000</v>
      </c>
      <c r="FC146" s="15">
        <f t="shared" ref="FC146:FC147" si="674">EZ146+FB146</f>
        <v>584000</v>
      </c>
      <c r="FF146" s="15">
        <f t="shared" ref="FF146:FF147" si="675">FC146+FE146</f>
        <v>584000</v>
      </c>
      <c r="FI146" s="15">
        <f t="shared" ref="FI146:FI147" si="676">FF146+FH146</f>
        <v>584000</v>
      </c>
      <c r="FK146" s="227">
        <v>-1680</v>
      </c>
      <c r="FL146" s="15">
        <f t="shared" ref="FL146:FL147" si="677">FI146+FK146</f>
        <v>582320</v>
      </c>
      <c r="FO146" s="15">
        <f t="shared" ref="FO146:FO147" si="678">FL146+FN146</f>
        <v>582320</v>
      </c>
      <c r="FR146" s="15">
        <v>582320</v>
      </c>
      <c r="FT146" s="15">
        <v>582320</v>
      </c>
      <c r="FV146" s="15">
        <f>132300+121000</f>
        <v>253300</v>
      </c>
      <c r="FW146" s="235">
        <f t="shared" ref="FW146" si="679">FV146/FT146</f>
        <v>0.43498420112652836</v>
      </c>
    </row>
    <row r="147" spans="1:179" outlineLevel="2">
      <c r="A147" s="1" t="s">
        <v>60</v>
      </c>
      <c r="B147" s="1" t="s">
        <v>402</v>
      </c>
      <c r="C147" s="4" t="s">
        <v>403</v>
      </c>
      <c r="D147" s="43"/>
      <c r="E147" s="34"/>
      <c r="F147" s="43"/>
      <c r="G147" s="34"/>
      <c r="H147" s="46"/>
      <c r="I147" s="36"/>
      <c r="J147" s="14"/>
      <c r="M147" s="17"/>
      <c r="N147" s="17"/>
      <c r="U147" s="16"/>
      <c r="V147" s="141"/>
      <c r="Y147" s="118"/>
      <c r="AC147" s="187"/>
      <c r="AD147" s="187"/>
      <c r="AF147" s="182"/>
      <c r="AH147" s="15"/>
      <c r="AS147" s="15"/>
      <c r="AX147" s="15"/>
      <c r="BA147" s="227">
        <v>33000</v>
      </c>
      <c r="BB147" s="15">
        <f t="shared" ref="BB147" si="680">AY147+BA147</f>
        <v>33000</v>
      </c>
      <c r="BD147" s="15">
        <v>60100</v>
      </c>
      <c r="BE147" s="15">
        <f t="shared" si="665"/>
        <v>93100</v>
      </c>
      <c r="BG147" s="15"/>
      <c r="BH147" s="15">
        <f t="shared" si="640"/>
        <v>93100</v>
      </c>
      <c r="BJ147" s="15">
        <v>92969</v>
      </c>
      <c r="BK147" s="235">
        <f t="shared" si="641"/>
        <v>0.99859291084854995</v>
      </c>
      <c r="BM147" s="15"/>
      <c r="BN147" s="235">
        <f t="shared" si="575"/>
        <v>0</v>
      </c>
      <c r="BO147" s="235">
        <f t="shared" si="576"/>
        <v>0</v>
      </c>
      <c r="BQ147" s="15"/>
      <c r="BR147" s="15"/>
      <c r="BT147" s="15"/>
      <c r="BU147" s="15"/>
      <c r="BW147" s="15"/>
      <c r="BX147" s="15"/>
      <c r="BZ147" s="15"/>
      <c r="CA147" s="15"/>
      <c r="CC147" s="15"/>
      <c r="CD147" s="15"/>
      <c r="CF147" s="15"/>
      <c r="CG147" s="15"/>
      <c r="CI147" s="15"/>
      <c r="CJ147" s="15"/>
      <c r="CM147" s="15"/>
      <c r="CP147" s="15"/>
      <c r="CS147" s="15"/>
      <c r="CV147" s="15"/>
      <c r="CY147" s="15"/>
      <c r="DE147" s="15"/>
      <c r="DF147" s="15">
        <f t="shared" si="643"/>
        <v>0</v>
      </c>
      <c r="DH147" s="15"/>
      <c r="DI147" s="15">
        <f t="shared" si="644"/>
        <v>0</v>
      </c>
      <c r="DK147" s="15"/>
      <c r="DL147" s="15">
        <f t="shared" si="645"/>
        <v>0</v>
      </c>
      <c r="DN147" s="15"/>
      <c r="DO147" s="15">
        <f t="shared" si="646"/>
        <v>0</v>
      </c>
      <c r="DQ147" s="15"/>
      <c r="DR147" s="15">
        <f t="shared" si="647"/>
        <v>0</v>
      </c>
      <c r="DT147" s="15"/>
      <c r="DU147" s="15">
        <f t="shared" si="648"/>
        <v>0</v>
      </c>
      <c r="DW147" s="15"/>
      <c r="DX147" s="15">
        <f t="shared" si="649"/>
        <v>0</v>
      </c>
      <c r="DZ147" s="15"/>
      <c r="EA147" s="15">
        <f t="shared" si="666"/>
        <v>0</v>
      </c>
      <c r="EC147" s="15"/>
      <c r="ED147" s="15">
        <f t="shared" si="667"/>
        <v>0</v>
      </c>
      <c r="EF147" s="15"/>
      <c r="EG147" s="15">
        <f t="shared" ref="EG147" si="681">ED147+EF147</f>
        <v>0</v>
      </c>
      <c r="EK147" s="15"/>
      <c r="EM147" s="15"/>
      <c r="EN147" s="15">
        <f t="shared" si="669"/>
        <v>0</v>
      </c>
      <c r="EP147" s="15"/>
      <c r="EQ147" s="15">
        <f t="shared" si="670"/>
        <v>0</v>
      </c>
      <c r="ES147" s="15"/>
      <c r="ET147" s="15">
        <f t="shared" si="671"/>
        <v>0</v>
      </c>
      <c r="EV147" s="227">
        <f>33600+4*12600</f>
        <v>84000</v>
      </c>
      <c r="EW147" s="15">
        <f t="shared" si="672"/>
        <v>84000</v>
      </c>
      <c r="EZ147" s="15">
        <f t="shared" si="673"/>
        <v>84000</v>
      </c>
      <c r="FB147" s="227">
        <v>-84000</v>
      </c>
      <c r="FC147" s="15">
        <f t="shared" si="674"/>
        <v>0</v>
      </c>
      <c r="FF147" s="15">
        <f t="shared" si="675"/>
        <v>0</v>
      </c>
      <c r="FI147" s="15">
        <f t="shared" si="676"/>
        <v>0</v>
      </c>
      <c r="FL147" s="15">
        <f t="shared" si="677"/>
        <v>0</v>
      </c>
      <c r="FO147" s="15">
        <f t="shared" si="678"/>
        <v>0</v>
      </c>
      <c r="FR147" s="15">
        <v>0</v>
      </c>
    </row>
    <row r="148" spans="1:179" outlineLevel="2">
      <c r="A148" s="1" t="s">
        <v>60</v>
      </c>
      <c r="B148" s="4" t="s">
        <v>46</v>
      </c>
      <c r="C148" s="4" t="s">
        <v>63</v>
      </c>
      <c r="D148" s="43">
        <v>0</v>
      </c>
      <c r="E148" s="34">
        <v>0</v>
      </c>
      <c r="F148" s="43">
        <v>30000</v>
      </c>
      <c r="G148" s="34">
        <v>87.12</v>
      </c>
      <c r="H148" s="46">
        <v>26136</v>
      </c>
      <c r="I148" s="36"/>
      <c r="J148" s="14"/>
      <c r="Y148" s="118"/>
      <c r="AF148" s="182"/>
      <c r="AH148" s="15"/>
      <c r="AX148" s="15"/>
      <c r="BD148" s="15"/>
      <c r="BG148" s="15"/>
      <c r="DE148" s="15"/>
      <c r="DH148" s="15"/>
      <c r="DK148" s="15"/>
      <c r="DN148" s="15"/>
      <c r="DQ148" s="15"/>
      <c r="DT148" s="15"/>
      <c r="DW148" s="15"/>
      <c r="DZ148" s="15"/>
      <c r="EC148" s="15"/>
      <c r="EF148" s="15"/>
      <c r="EK148" s="15"/>
      <c r="EM148" s="15"/>
      <c r="EP148" s="15"/>
      <c r="ES148" s="15"/>
    </row>
    <row r="149" spans="1:179" outlineLevel="2">
      <c r="A149" s="1" t="s">
        <v>64</v>
      </c>
      <c r="B149" s="4" t="s">
        <v>48</v>
      </c>
      <c r="C149" s="4" t="s">
        <v>65</v>
      </c>
      <c r="D149" s="43">
        <v>63500</v>
      </c>
      <c r="E149" s="34">
        <v>114.1</v>
      </c>
      <c r="F149" s="43">
        <v>103500</v>
      </c>
      <c r="G149" s="34">
        <v>70.010000000000005</v>
      </c>
      <c r="H149" s="46">
        <v>72456.210000000006</v>
      </c>
      <c r="I149" s="36"/>
      <c r="J149" s="14"/>
      <c r="Y149" s="118"/>
      <c r="AF149" s="182"/>
      <c r="AH149" s="15"/>
      <c r="AX149" s="15"/>
      <c r="BD149" s="15"/>
      <c r="BG149" s="15"/>
      <c r="DE149" s="15"/>
      <c r="DH149" s="15"/>
      <c r="DK149" s="15"/>
      <c r="DN149" s="15"/>
      <c r="DQ149" s="15"/>
      <c r="DT149" s="15"/>
      <c r="DW149" s="15"/>
      <c r="DZ149" s="15"/>
      <c r="EC149" s="15"/>
      <c r="EF149" s="15"/>
      <c r="EK149" s="15"/>
      <c r="EM149" s="15"/>
      <c r="EP149" s="15"/>
      <c r="ES149" s="15"/>
    </row>
    <row r="150" spans="1:179" ht="18" customHeight="1" thickBot="1">
      <c r="A150" s="54" t="s">
        <v>60</v>
      </c>
      <c r="B150" s="55" t="s">
        <v>316</v>
      </c>
      <c r="C150" s="283" t="s">
        <v>63</v>
      </c>
      <c r="D150" s="57">
        <f>D144</f>
        <v>0</v>
      </c>
      <c r="E150" s="58"/>
      <c r="F150" s="57">
        <f>F144</f>
        <v>30000</v>
      </c>
      <c r="G150" s="58"/>
      <c r="H150" s="57"/>
      <c r="I150" s="57">
        <f>I144</f>
        <v>0</v>
      </c>
      <c r="J150" s="59"/>
      <c r="K150" s="60"/>
      <c r="L150" s="122">
        <f>L144</f>
        <v>0</v>
      </c>
      <c r="M150" s="61">
        <f>L150/F150-1</f>
        <v>-1</v>
      </c>
      <c r="N150" s="61" t="e">
        <f>L150/I150-1</f>
        <v>#DIV/0!</v>
      </c>
      <c r="Q150" s="122">
        <f t="shared" ref="Q150:T151" si="682">Q144</f>
        <v>0</v>
      </c>
      <c r="R150" s="122">
        <f t="shared" si="682"/>
        <v>0</v>
      </c>
      <c r="S150" s="122">
        <f t="shared" si="682"/>
        <v>0</v>
      </c>
      <c r="T150" s="122">
        <f t="shared" si="682"/>
        <v>0</v>
      </c>
      <c r="U150" s="155" t="e">
        <f>S150/Q150-1</f>
        <v>#DIV/0!</v>
      </c>
      <c r="Y150" s="122">
        <f>Y144</f>
        <v>0</v>
      </c>
      <c r="AA150" s="122">
        <f>AA144</f>
        <v>0</v>
      </c>
      <c r="AB150" s="122">
        <f>AB144</f>
        <v>0</v>
      </c>
      <c r="AE150" s="122">
        <f>AE144</f>
        <v>0</v>
      </c>
      <c r="AF150" s="182"/>
      <c r="AH150" s="122">
        <f>AH144</f>
        <v>0</v>
      </c>
      <c r="AK150" s="122">
        <f>AK144</f>
        <v>0</v>
      </c>
      <c r="AL150" s="193" t="e">
        <f t="shared" ref="AL150:AL151" si="683">AK150/L150</f>
        <v>#DIV/0!</v>
      </c>
      <c r="AM150" s="17" t="e">
        <f t="shared" ref="AM150:AM151" si="684">AK150/AE150</f>
        <v>#DIV/0!</v>
      </c>
      <c r="AN150" s="17" t="e">
        <f t="shared" ref="AN150:AN151" si="685">AK150/AH150</f>
        <v>#DIV/0!</v>
      </c>
      <c r="AS150" s="122">
        <f>AS144</f>
        <v>0</v>
      </c>
      <c r="AU150" s="122">
        <f>AU144</f>
        <v>0</v>
      </c>
      <c r="AV150" s="122">
        <f>AV144</f>
        <v>0</v>
      </c>
      <c r="AX150" s="122">
        <f>AX144</f>
        <v>0</v>
      </c>
      <c r="AY150" s="122">
        <f>AY144</f>
        <v>0</v>
      </c>
      <c r="BA150" s="122">
        <f>BA144</f>
        <v>0</v>
      </c>
      <c r="BB150" s="122">
        <f>BB144</f>
        <v>0</v>
      </c>
      <c r="BD150" s="122">
        <f>BD144</f>
        <v>0</v>
      </c>
      <c r="BE150" s="122">
        <f>BE144</f>
        <v>0</v>
      </c>
      <c r="BG150" s="122">
        <f>BG144</f>
        <v>116300</v>
      </c>
      <c r="BH150" s="122">
        <f>BH144</f>
        <v>116300</v>
      </c>
      <c r="BJ150" s="122">
        <f>BJ144</f>
        <v>116220.5</v>
      </c>
      <c r="BK150" s="236">
        <f t="shared" ref="BK150:BK151" si="686">BJ150/BH150</f>
        <v>0.99931642304385215</v>
      </c>
      <c r="BM150" s="122">
        <f>BM144</f>
        <v>500000</v>
      </c>
      <c r="BN150" s="236">
        <f t="shared" ref="BN150:BN151" si="687">BM150/BJ150</f>
        <v>4.302167001518665</v>
      </c>
      <c r="BO150" s="236">
        <f t="shared" ref="BO150:BO151" si="688">BM150/BH150</f>
        <v>4.2992261392949267</v>
      </c>
      <c r="BQ150" s="122">
        <f>BQ144</f>
        <v>-45400</v>
      </c>
      <c r="BR150" s="122">
        <f>BR144</f>
        <v>454600</v>
      </c>
      <c r="BT150" s="122">
        <f>BT144</f>
        <v>-15000</v>
      </c>
      <c r="BU150" s="122">
        <f>BU144</f>
        <v>439600</v>
      </c>
      <c r="BW150" s="122">
        <f>BW144</f>
        <v>-211634</v>
      </c>
      <c r="BX150" s="122">
        <f>BX144</f>
        <v>227966</v>
      </c>
      <c r="BZ150" s="122">
        <f>BZ144</f>
        <v>0</v>
      </c>
      <c r="CA150" s="122">
        <f>CA144</f>
        <v>227966</v>
      </c>
      <c r="CC150" s="122">
        <f>CC144</f>
        <v>0</v>
      </c>
      <c r="CD150" s="122">
        <f>CD144</f>
        <v>227966</v>
      </c>
      <c r="CF150" s="122">
        <f>CF144</f>
        <v>-66010</v>
      </c>
      <c r="CG150" s="122">
        <f>CG144</f>
        <v>161956</v>
      </c>
      <c r="CI150" s="122">
        <f>CI144</f>
        <v>-34200</v>
      </c>
      <c r="CJ150" s="122">
        <f>CJ144</f>
        <v>127756</v>
      </c>
      <c r="CL150" s="319">
        <f>CL144</f>
        <v>0</v>
      </c>
      <c r="CM150" s="122">
        <f>CM144</f>
        <v>127756</v>
      </c>
      <c r="CO150" s="122">
        <f>CO144</f>
        <v>0</v>
      </c>
      <c r="CP150" s="122">
        <f>CP144</f>
        <v>127756</v>
      </c>
      <c r="CR150" s="122">
        <f>CR144</f>
        <v>0</v>
      </c>
      <c r="CS150" s="122">
        <f>CS144</f>
        <v>127756</v>
      </c>
      <c r="CU150" s="122">
        <f>CU144</f>
        <v>0</v>
      </c>
      <c r="CV150" s="122">
        <f>CV144</f>
        <v>127756</v>
      </c>
      <c r="CX150" s="122">
        <f>CX144</f>
        <v>0</v>
      </c>
      <c r="CY150" s="122">
        <f>CY144</f>
        <v>127756</v>
      </c>
      <c r="DA150" s="122">
        <f>DA144</f>
        <v>29588</v>
      </c>
      <c r="DC150" s="122">
        <f>DC144</f>
        <v>620000</v>
      </c>
      <c r="DE150" s="122">
        <f>DE144</f>
        <v>0</v>
      </c>
      <c r="DF150" s="122">
        <f>DF144</f>
        <v>620000</v>
      </c>
      <c r="DH150" s="122">
        <f>DH144</f>
        <v>0</v>
      </c>
      <c r="DI150" s="122">
        <f>DI144</f>
        <v>620000</v>
      </c>
      <c r="DK150" s="122">
        <f>DK144</f>
        <v>0</v>
      </c>
      <c r="DL150" s="122">
        <f>DL144</f>
        <v>620000</v>
      </c>
      <c r="DN150" s="122">
        <f>DN144</f>
        <v>0</v>
      </c>
      <c r="DO150" s="122">
        <f>DO144</f>
        <v>620000</v>
      </c>
      <c r="DQ150" s="122">
        <f>DQ144</f>
        <v>0</v>
      </c>
      <c r="DR150" s="122">
        <f>DR144</f>
        <v>620000</v>
      </c>
      <c r="DT150" s="122">
        <f>DT144</f>
        <v>0</v>
      </c>
      <c r="DU150" s="122">
        <f>DU144</f>
        <v>620000</v>
      </c>
      <c r="DW150" s="122">
        <f>DW144</f>
        <v>-620000</v>
      </c>
      <c r="DX150" s="122">
        <f>DX144</f>
        <v>0</v>
      </c>
      <c r="DZ150" s="122">
        <f>DZ144</f>
        <v>0</v>
      </c>
      <c r="EA150" s="122">
        <f>EA144</f>
        <v>0</v>
      </c>
      <c r="EC150" s="122">
        <f>EC144</f>
        <v>0</v>
      </c>
      <c r="ED150" s="122">
        <f>ED144</f>
        <v>0</v>
      </c>
      <c r="EF150" s="122">
        <f>EF144</f>
        <v>0</v>
      </c>
      <c r="EG150" s="122">
        <f>EG144</f>
        <v>0</v>
      </c>
      <c r="EI150" s="122">
        <f>EI144</f>
        <v>0</v>
      </c>
      <c r="EK150" s="122">
        <f>EK144</f>
        <v>0</v>
      </c>
      <c r="EL150" s="377" t="e">
        <f>EK150/EI150-1</f>
        <v>#DIV/0!</v>
      </c>
      <c r="EM150" s="122">
        <f>EM144</f>
        <v>0</v>
      </c>
      <c r="EN150" s="122">
        <f>EN144</f>
        <v>0</v>
      </c>
      <c r="EP150" s="122">
        <f>EP144</f>
        <v>0</v>
      </c>
      <c r="EQ150" s="122">
        <f>EQ144</f>
        <v>0</v>
      </c>
      <c r="ES150" s="122">
        <f>ES144</f>
        <v>0</v>
      </c>
      <c r="ET150" s="122">
        <f>ET144</f>
        <v>0</v>
      </c>
      <c r="EV150" s="122">
        <f>EV144</f>
        <v>0</v>
      </c>
      <c r="EW150" s="122">
        <f>EW144</f>
        <v>0</v>
      </c>
      <c r="EY150" s="122">
        <f>EY144</f>
        <v>0</v>
      </c>
      <c r="EZ150" s="122">
        <f>EZ144</f>
        <v>0</v>
      </c>
      <c r="FB150" s="122">
        <f>FB144</f>
        <v>0</v>
      </c>
      <c r="FC150" s="122">
        <f>FC144</f>
        <v>0</v>
      </c>
      <c r="FE150" s="122">
        <f>FE144</f>
        <v>0</v>
      </c>
      <c r="FF150" s="122">
        <f>FF144</f>
        <v>0</v>
      </c>
      <c r="FH150" s="122">
        <f>FH144</f>
        <v>0</v>
      </c>
      <c r="FI150" s="122">
        <f>FI144</f>
        <v>0</v>
      </c>
      <c r="FK150" s="122">
        <f>FK144</f>
        <v>0</v>
      </c>
      <c r="FL150" s="122">
        <f>FL144</f>
        <v>0</v>
      </c>
      <c r="FN150" s="122">
        <f>FN144</f>
        <v>0</v>
      </c>
      <c r="FO150" s="122">
        <f>FO144</f>
        <v>0</v>
      </c>
      <c r="FQ150" s="122">
        <v>0</v>
      </c>
      <c r="FR150" s="122">
        <v>0</v>
      </c>
      <c r="FT150" s="122">
        <f>FT144</f>
        <v>0</v>
      </c>
      <c r="FV150" s="122">
        <f>FV144</f>
        <v>0</v>
      </c>
      <c r="FW150" s="235" t="e">
        <f t="shared" ref="FW150:FW152" si="689">FV150/FT150</f>
        <v>#DIV/0!</v>
      </c>
    </row>
    <row r="151" spans="1:179" ht="17.25" customHeight="1" thickTop="1" thickBot="1">
      <c r="A151" s="75" t="s">
        <v>60</v>
      </c>
      <c r="B151" s="76" t="s">
        <v>277</v>
      </c>
      <c r="C151" s="285" t="s">
        <v>340</v>
      </c>
      <c r="D151" s="78">
        <f>D145</f>
        <v>0</v>
      </c>
      <c r="E151" s="79"/>
      <c r="F151" s="78">
        <f>F145</f>
        <v>0</v>
      </c>
      <c r="G151" s="79"/>
      <c r="H151" s="78"/>
      <c r="I151" s="78">
        <f>I145</f>
        <v>26136</v>
      </c>
      <c r="J151" s="80"/>
      <c r="K151" s="77"/>
      <c r="L151" s="124">
        <f>L145</f>
        <v>300000</v>
      </c>
      <c r="M151" s="81" t="e">
        <f>L151/F151-1</f>
        <v>#DIV/0!</v>
      </c>
      <c r="N151" s="81">
        <f>L151/I151-1</f>
        <v>10.478420569329661</v>
      </c>
      <c r="Q151" s="124">
        <f t="shared" si="682"/>
        <v>237000</v>
      </c>
      <c r="R151" s="124">
        <f t="shared" si="682"/>
        <v>0</v>
      </c>
      <c r="S151" s="124">
        <f t="shared" si="682"/>
        <v>0</v>
      </c>
      <c r="T151" s="124">
        <f t="shared" si="682"/>
        <v>-237000</v>
      </c>
      <c r="U151" s="156">
        <f>S151/Q151-1</f>
        <v>-1</v>
      </c>
      <c r="Y151" s="124">
        <f>Y145</f>
        <v>0</v>
      </c>
      <c r="AA151" s="124">
        <f>AA145</f>
        <v>0</v>
      </c>
      <c r="AB151" s="124">
        <f>AB145</f>
        <v>0</v>
      </c>
      <c r="AE151" s="124">
        <f t="shared" ref="AE151" si="690">AE145</f>
        <v>0</v>
      </c>
      <c r="AF151" s="182"/>
      <c r="AH151" s="124">
        <f t="shared" ref="AH151" si="691">AH145</f>
        <v>0</v>
      </c>
      <c r="AK151" s="124">
        <f>AK145</f>
        <v>0</v>
      </c>
      <c r="AL151" s="193">
        <f t="shared" si="683"/>
        <v>0</v>
      </c>
      <c r="AM151" s="17" t="e">
        <f t="shared" si="684"/>
        <v>#DIV/0!</v>
      </c>
      <c r="AN151" s="17" t="e">
        <f t="shared" si="685"/>
        <v>#DIV/0!</v>
      </c>
      <c r="AS151" s="124">
        <f>AS145</f>
        <v>0</v>
      </c>
      <c r="AU151" s="124">
        <f>AU145</f>
        <v>0</v>
      </c>
      <c r="AV151" s="124">
        <f>AV145</f>
        <v>0</v>
      </c>
      <c r="AX151" s="124">
        <f>AX145</f>
        <v>0</v>
      </c>
      <c r="AY151" s="124">
        <f>AY145</f>
        <v>0</v>
      </c>
      <c r="BA151" s="124">
        <f>BA145+BA147</f>
        <v>33000</v>
      </c>
      <c r="BB151" s="124">
        <f>BB145+BB147</f>
        <v>33000</v>
      </c>
      <c r="BD151" s="124">
        <f>BD145+BD147</f>
        <v>64100</v>
      </c>
      <c r="BE151" s="124">
        <f>BE145+BE147</f>
        <v>97100</v>
      </c>
      <c r="BG151" s="124">
        <f>BG145+BG147</f>
        <v>0</v>
      </c>
      <c r="BH151" s="124">
        <f>BH145+BH147</f>
        <v>97100</v>
      </c>
      <c r="BJ151" s="124">
        <f>BJ145+BJ147</f>
        <v>96599</v>
      </c>
      <c r="BK151" s="237">
        <f t="shared" si="686"/>
        <v>0.99484037075180232</v>
      </c>
      <c r="BM151" s="124">
        <f>BM145+BM147</f>
        <v>0</v>
      </c>
      <c r="BN151" s="237">
        <f t="shared" si="687"/>
        <v>0</v>
      </c>
      <c r="BO151" s="237">
        <f t="shared" si="688"/>
        <v>0</v>
      </c>
      <c r="BQ151" s="124">
        <f>BQ145+BQ147</f>
        <v>0</v>
      </c>
      <c r="BR151" s="124">
        <f>BR145+BR147</f>
        <v>0</v>
      </c>
      <c r="BT151" s="124">
        <f>BT145+BT147</f>
        <v>0</v>
      </c>
      <c r="BU151" s="124">
        <f>BU145+BU147</f>
        <v>0</v>
      </c>
      <c r="BW151" s="124">
        <f>BW145+BW147</f>
        <v>0</v>
      </c>
      <c r="BX151" s="124">
        <f>BX145+BX147</f>
        <v>0</v>
      </c>
      <c r="BZ151" s="124">
        <f>BZ145+BZ147</f>
        <v>0</v>
      </c>
      <c r="CA151" s="124">
        <f>CA145+CA147</f>
        <v>0</v>
      </c>
      <c r="CC151" s="124">
        <f>CC145+CC147</f>
        <v>0</v>
      </c>
      <c r="CD151" s="124">
        <f>CD145+CD147</f>
        <v>0</v>
      </c>
      <c r="CF151" s="124">
        <f>CF145+CF147</f>
        <v>0</v>
      </c>
      <c r="CG151" s="124">
        <f>CG145+CG147</f>
        <v>0</v>
      </c>
      <c r="CI151" s="124">
        <f>CI145+CI147</f>
        <v>0</v>
      </c>
      <c r="CJ151" s="124">
        <f>CJ145+CJ147</f>
        <v>0</v>
      </c>
      <c r="CL151" s="319">
        <f>CL145+CL147</f>
        <v>0</v>
      </c>
      <c r="CM151" s="124">
        <f>CM145+CM147</f>
        <v>0</v>
      </c>
      <c r="CO151" s="124">
        <f>CO145+CO147</f>
        <v>0</v>
      </c>
      <c r="CP151" s="124">
        <f>CP145+CP147</f>
        <v>0</v>
      </c>
      <c r="CR151" s="124">
        <f>CR145+CR147</f>
        <v>0</v>
      </c>
      <c r="CS151" s="124">
        <f>CS145+CS147</f>
        <v>0</v>
      </c>
      <c r="CU151" s="124">
        <f>CU145+CU147</f>
        <v>0</v>
      </c>
      <c r="CV151" s="124">
        <f>CV145+CV147</f>
        <v>0</v>
      </c>
      <c r="CX151" s="124">
        <f>CX145+CX147</f>
        <v>0</v>
      </c>
      <c r="CY151" s="124">
        <f>CY145+CY147</f>
        <v>0</v>
      </c>
      <c r="DA151" s="124">
        <f>DA145+DA147</f>
        <v>0</v>
      </c>
      <c r="DC151" s="124">
        <f>DC145+DC147</f>
        <v>0</v>
      </c>
      <c r="DE151" s="124">
        <f>DE145+DE147</f>
        <v>0</v>
      </c>
      <c r="DF151" s="124">
        <f>DF145+DF147</f>
        <v>0</v>
      </c>
      <c r="DH151" s="124">
        <f>DH145+DH147</f>
        <v>0</v>
      </c>
      <c r="DI151" s="124">
        <f>DI145+DI147</f>
        <v>0</v>
      </c>
      <c r="DK151" s="124">
        <f>DK145+DK147</f>
        <v>0</v>
      </c>
      <c r="DL151" s="124">
        <f>DL145+DL147</f>
        <v>0</v>
      </c>
      <c r="DN151" s="124">
        <f>DN145+DN147</f>
        <v>0</v>
      </c>
      <c r="DO151" s="124">
        <f>DO145+DO147</f>
        <v>0</v>
      </c>
      <c r="DQ151" s="124">
        <f>DQ145+DQ147</f>
        <v>0</v>
      </c>
      <c r="DR151" s="124">
        <f>DR145+DR147</f>
        <v>0</v>
      </c>
      <c r="DT151" s="124">
        <f>DT145+DT147</f>
        <v>0</v>
      </c>
      <c r="DU151" s="124">
        <f>DU145+DU147</f>
        <v>0</v>
      </c>
      <c r="DW151" s="124">
        <f>DW145+DW147+DW146</f>
        <v>584000</v>
      </c>
      <c r="DX151" s="124">
        <f>DX145+DX147+DX146</f>
        <v>584000</v>
      </c>
      <c r="DZ151" s="124">
        <f>DZ145+DZ147+DZ146</f>
        <v>0</v>
      </c>
      <c r="EA151" s="124">
        <f>EA145+EA147+EA146</f>
        <v>584000</v>
      </c>
      <c r="EC151" s="124">
        <f>EC145+EC147+EC146</f>
        <v>0</v>
      </c>
      <c r="ED151" s="124">
        <f>ED145+ED147+ED146</f>
        <v>584000</v>
      </c>
      <c r="EF151" s="124">
        <f>EF145+EF147+EF146</f>
        <v>-200000</v>
      </c>
      <c r="EG151" s="124">
        <f>EG145+EG147+EG146</f>
        <v>384000</v>
      </c>
      <c r="EI151" s="124">
        <f>EI145+EI147+EI146</f>
        <v>84700</v>
      </c>
      <c r="EK151" s="124">
        <f>EK145+EK147+EK146</f>
        <v>620000</v>
      </c>
      <c r="EL151" s="377">
        <f>EK151/EI151-1</f>
        <v>6.3199527744982289</v>
      </c>
      <c r="EM151" s="124">
        <f>EM145+EM147+EM146</f>
        <v>0</v>
      </c>
      <c r="EN151" s="124">
        <f>EN145+EN147+EN146</f>
        <v>620000</v>
      </c>
      <c r="EP151" s="124">
        <f>EP145+EP147+EP146</f>
        <v>0</v>
      </c>
      <c r="EQ151" s="124">
        <f>EQ145+EQ147+EQ146</f>
        <v>620000</v>
      </c>
      <c r="ES151" s="124">
        <f>ES145+ES147+ES146</f>
        <v>0</v>
      </c>
      <c r="ET151" s="124">
        <f>ET145+ET147+ET146</f>
        <v>620000</v>
      </c>
      <c r="EV151" s="124">
        <f>EV145+EV147+EV146</f>
        <v>-36000</v>
      </c>
      <c r="EW151" s="124">
        <f>EW145+EW147+EW146</f>
        <v>584000</v>
      </c>
      <c r="EY151" s="124">
        <f>EY145+EY147+EY146</f>
        <v>0</v>
      </c>
      <c r="EZ151" s="124">
        <f>EZ145+EZ147+EZ146</f>
        <v>584000</v>
      </c>
      <c r="FB151" s="124">
        <f>FB145+FB147+FB146</f>
        <v>0</v>
      </c>
      <c r="FC151" s="124">
        <f>FC145+FC147+FC146</f>
        <v>584000</v>
      </c>
      <c r="FE151" s="124">
        <f>FE145+FE147+FE146</f>
        <v>0</v>
      </c>
      <c r="FF151" s="124">
        <f>FF145+FF147+FF146</f>
        <v>584000</v>
      </c>
      <c r="FH151" s="124">
        <f>FH145+FH147+FH146</f>
        <v>0</v>
      </c>
      <c r="FI151" s="124">
        <f>FI145+FI147+FI146</f>
        <v>584000</v>
      </c>
      <c r="FK151" s="124">
        <f>FK145+FK147+FK146</f>
        <v>-1680</v>
      </c>
      <c r="FL151" s="124">
        <f>FL145+FL147+FL146</f>
        <v>582320</v>
      </c>
      <c r="FN151" s="124">
        <f>FN145+FN147+FN146</f>
        <v>0</v>
      </c>
      <c r="FO151" s="124">
        <f>FO145+FO147+FO146</f>
        <v>582320</v>
      </c>
      <c r="FQ151" s="124">
        <v>0</v>
      </c>
      <c r="FR151" s="124">
        <v>582320</v>
      </c>
      <c r="FT151" s="124">
        <f>FT145+FT147+FT146</f>
        <v>582320</v>
      </c>
      <c r="FV151" s="124">
        <f>FV145+FV147+FV146</f>
        <v>253300</v>
      </c>
      <c r="FW151" s="235">
        <f t="shared" si="689"/>
        <v>0.43498420112652836</v>
      </c>
    </row>
    <row r="152" spans="1:179" ht="15.75" outlineLevel="1" thickTop="1">
      <c r="A152" s="1" t="s">
        <v>177</v>
      </c>
      <c r="B152" s="1" t="s">
        <v>115</v>
      </c>
      <c r="C152" s="4" t="s">
        <v>116</v>
      </c>
      <c r="D152" s="43">
        <v>12000</v>
      </c>
      <c r="E152" s="34">
        <v>72.510000000000005</v>
      </c>
      <c r="F152" s="43">
        <v>12000</v>
      </c>
      <c r="G152" s="34">
        <v>72.510000000000005</v>
      </c>
      <c r="H152" s="46">
        <v>8701</v>
      </c>
      <c r="I152" s="36">
        <v>10000</v>
      </c>
      <c r="J152" s="14"/>
      <c r="K152" t="s">
        <v>332</v>
      </c>
      <c r="L152" s="118">
        <v>15000</v>
      </c>
      <c r="M152" s="17">
        <f>L152/F152-1</f>
        <v>0.25</v>
      </c>
      <c r="N152" s="17">
        <f>L152/I152-1</f>
        <v>0.5</v>
      </c>
      <c r="Q152" s="118">
        <v>15000</v>
      </c>
      <c r="R152" s="15">
        <v>4539</v>
      </c>
      <c r="S152" s="118">
        <v>10000</v>
      </c>
      <c r="T152" s="15">
        <f>S152-Q152</f>
        <v>-5000</v>
      </c>
      <c r="U152" s="16">
        <f>S152/Q152-1</f>
        <v>-0.33333333333333337</v>
      </c>
      <c r="Y152" s="118">
        <v>10000</v>
      </c>
      <c r="AA152" s="118">
        <v>8500</v>
      </c>
      <c r="AB152" s="185">
        <f t="shared" ref="AB152" si="692">AA152-Y152</f>
        <v>-1500</v>
      </c>
      <c r="AC152" s="187">
        <f t="shared" ref="AC152" si="693">AA152-Y152</f>
        <v>-1500</v>
      </c>
      <c r="AD152" s="187"/>
      <c r="AE152" s="118">
        <v>8500</v>
      </c>
      <c r="AF152" s="182"/>
      <c r="AH152" s="15">
        <v>7278.18</v>
      </c>
      <c r="AI152" s="17">
        <f t="shared" ref="AI152" si="694">AH152/AE152</f>
        <v>0.85625647058823529</v>
      </c>
      <c r="AK152" s="118">
        <v>7500</v>
      </c>
      <c r="AS152" s="15">
        <f t="shared" ref="AS152" si="695">AR152+AK152</f>
        <v>7500</v>
      </c>
      <c r="AV152" s="15">
        <f t="shared" ref="AV152" si="696">AS152+AU152</f>
        <v>7500</v>
      </c>
      <c r="AX152" s="15"/>
      <c r="AY152" s="15">
        <f t="shared" ref="AY152" si="697">AV152+AX152</f>
        <v>7500</v>
      </c>
      <c r="BB152" s="15">
        <f t="shared" ref="BB152" si="698">AY152+BA152</f>
        <v>7500</v>
      </c>
      <c r="BD152" s="15"/>
      <c r="BE152" s="15">
        <f t="shared" ref="BE152" si="699">BB152+BD152</f>
        <v>7500</v>
      </c>
      <c r="BG152" s="15"/>
      <c r="BH152" s="15">
        <f t="shared" ref="BH152" si="700">BE152+BG152</f>
        <v>7500</v>
      </c>
      <c r="BJ152" s="15">
        <v>6026</v>
      </c>
      <c r="BK152" s="235">
        <f t="shared" ref="BK152" si="701">BJ152/BH152</f>
        <v>0.80346666666666666</v>
      </c>
      <c r="BM152" s="15">
        <v>8000</v>
      </c>
      <c r="BN152" s="235">
        <f t="shared" ref="BN152" si="702">BM152/BJ152</f>
        <v>1.3275804845668768</v>
      </c>
      <c r="BO152" s="235">
        <f t="shared" ref="BO152" si="703">BM152/BH152</f>
        <v>1.0666666666666667</v>
      </c>
      <c r="BQ152" s="15"/>
      <c r="BR152" s="15">
        <f t="shared" ref="BR152" si="704">BM152+BQ152</f>
        <v>8000</v>
      </c>
      <c r="BT152" s="15"/>
      <c r="BU152" s="15">
        <f>BR152+BT152</f>
        <v>8000</v>
      </c>
      <c r="BW152" s="15"/>
      <c r="BX152" s="15">
        <f>BU152+BW152</f>
        <v>8000</v>
      </c>
      <c r="BZ152" s="15"/>
      <c r="CA152" s="15">
        <f>BX152+BZ152</f>
        <v>8000</v>
      </c>
      <c r="CC152" s="15"/>
      <c r="CD152" s="15">
        <f>CA152+CC152</f>
        <v>8000</v>
      </c>
      <c r="CF152" s="15"/>
      <c r="CG152" s="15">
        <f>CD152+CF152</f>
        <v>8000</v>
      </c>
      <c r="CI152" s="15"/>
      <c r="CJ152" s="15">
        <f>CG152+CI152</f>
        <v>8000</v>
      </c>
      <c r="CM152" s="15">
        <f>CJ152+CL152</f>
        <v>8000</v>
      </c>
      <c r="CO152" s="15">
        <v>-2000</v>
      </c>
      <c r="CP152" s="15">
        <f>CM152+CO152</f>
        <v>6000</v>
      </c>
      <c r="CS152" s="15">
        <f>CP152+CR152</f>
        <v>6000</v>
      </c>
      <c r="CV152" s="15">
        <f>CS152+CU152</f>
        <v>6000</v>
      </c>
      <c r="CY152" s="15">
        <f>CV152+CX152</f>
        <v>6000</v>
      </c>
      <c r="DA152" s="15">
        <v>5655.77</v>
      </c>
      <c r="DC152" s="15">
        <v>7000</v>
      </c>
      <c r="DE152" s="15"/>
      <c r="DF152" s="15">
        <f t="shared" ref="DF152" si="705">DC152+DE152</f>
        <v>7000</v>
      </c>
      <c r="DH152" s="15"/>
      <c r="DI152" s="15">
        <f t="shared" ref="DI152" si="706">DF152+DH152</f>
        <v>7000</v>
      </c>
      <c r="DK152" s="15"/>
      <c r="DL152" s="15">
        <f t="shared" ref="DL152" si="707">DI152+DK152</f>
        <v>7000</v>
      </c>
      <c r="DN152" s="15"/>
      <c r="DO152" s="15">
        <f t="shared" ref="DO152" si="708">DL152+DN152</f>
        <v>7000</v>
      </c>
      <c r="DQ152" s="15"/>
      <c r="DR152" s="15">
        <f t="shared" ref="DR152" si="709">DO152+DQ152</f>
        <v>7000</v>
      </c>
      <c r="DT152" s="15"/>
      <c r="DU152" s="15">
        <f t="shared" ref="DU152" si="710">DR152+DT152</f>
        <v>7000</v>
      </c>
      <c r="DW152" s="15"/>
      <c r="DX152" s="15">
        <f t="shared" ref="DX152" si="711">DU152+DW152</f>
        <v>7000</v>
      </c>
      <c r="DZ152" s="227">
        <v>750</v>
      </c>
      <c r="EA152" s="15">
        <f t="shared" ref="EA152" si="712">DX152+DZ152</f>
        <v>7750</v>
      </c>
      <c r="EC152" s="15"/>
      <c r="ED152" s="15">
        <f t="shared" ref="ED152" si="713">EA152+EC152</f>
        <v>7750</v>
      </c>
      <c r="EF152" s="15"/>
      <c r="EG152" s="15">
        <f t="shared" ref="EG152" si="714">ED152+EF152</f>
        <v>7750</v>
      </c>
      <c r="EI152" s="15">
        <v>7726.89</v>
      </c>
      <c r="EK152" s="15">
        <v>8000</v>
      </c>
      <c r="EM152" s="15"/>
      <c r="EN152" s="15">
        <f t="shared" ref="EN152" si="715">EK152+EM152</f>
        <v>8000</v>
      </c>
      <c r="EP152" s="15"/>
      <c r="EQ152" s="15">
        <f t="shared" ref="EQ152" si="716">EN152+EP152</f>
        <v>8000</v>
      </c>
      <c r="ES152" s="15"/>
      <c r="ET152" s="15">
        <f t="shared" ref="ET152" si="717">EQ152+ES152</f>
        <v>8000</v>
      </c>
      <c r="EW152" s="15">
        <f t="shared" ref="EW152" si="718">ET152+EV152</f>
        <v>8000</v>
      </c>
      <c r="EZ152" s="15">
        <f t="shared" ref="EZ152" si="719">EW152+EY152</f>
        <v>8000</v>
      </c>
      <c r="FC152" s="15">
        <f t="shared" ref="FC152" si="720">EZ152+FB152</f>
        <v>8000</v>
      </c>
      <c r="FE152" s="227">
        <v>1350</v>
      </c>
      <c r="FF152" s="15">
        <f t="shared" ref="FF152" si="721">FC152+FE152</f>
        <v>9350</v>
      </c>
      <c r="FI152" s="15">
        <f t="shared" ref="FI152" si="722">FF152+FH152</f>
        <v>9350</v>
      </c>
      <c r="FL152" s="15">
        <f t="shared" ref="FL152" si="723">FI152+FK152</f>
        <v>9350</v>
      </c>
      <c r="FO152" s="15">
        <f t="shared" ref="FO152" si="724">FL152+FN152</f>
        <v>9350</v>
      </c>
      <c r="FR152" s="15">
        <v>9350</v>
      </c>
      <c r="FT152" s="15">
        <v>9339.2900000000009</v>
      </c>
      <c r="FV152" s="15">
        <v>12000</v>
      </c>
      <c r="FW152" s="235">
        <f t="shared" si="689"/>
        <v>1.2848942478496759</v>
      </c>
    </row>
    <row r="153" spans="1:179" outlineLevel="1">
      <c r="A153" s="1" t="s">
        <v>177</v>
      </c>
      <c r="B153" s="4" t="s">
        <v>46</v>
      </c>
      <c r="C153" s="4" t="s">
        <v>178</v>
      </c>
      <c r="D153" s="43">
        <v>12000</v>
      </c>
      <c r="E153" s="34">
        <v>72.510000000000005</v>
      </c>
      <c r="F153" s="43">
        <v>12000</v>
      </c>
      <c r="G153" s="34">
        <v>72.510000000000005</v>
      </c>
      <c r="H153" s="46">
        <v>8701</v>
      </c>
      <c r="I153" s="36"/>
      <c r="J153" s="14"/>
      <c r="Y153" s="118"/>
      <c r="AF153" s="182"/>
      <c r="AH153" s="15"/>
      <c r="AX153" s="15"/>
      <c r="BD153" s="15"/>
      <c r="BG153" s="15"/>
      <c r="DE153" s="15"/>
      <c r="DH153" s="15"/>
      <c r="DK153" s="15"/>
      <c r="DN153" s="15"/>
      <c r="DQ153" s="15"/>
      <c r="DT153" s="15"/>
      <c r="DW153" s="15"/>
      <c r="DZ153" s="15"/>
      <c r="EC153" s="15"/>
      <c r="EF153" s="15"/>
      <c r="EK153" s="15"/>
      <c r="EM153" s="15"/>
      <c r="EP153" s="15"/>
      <c r="ES153" s="15"/>
    </row>
    <row r="154" spans="1:179" outlineLevel="1">
      <c r="A154" s="1" t="s">
        <v>179</v>
      </c>
      <c r="B154" s="1" t="s">
        <v>146</v>
      </c>
      <c r="C154" s="4" t="s">
        <v>147</v>
      </c>
      <c r="D154" s="43"/>
      <c r="E154" s="34"/>
      <c r="F154" s="43"/>
      <c r="G154" s="34"/>
      <c r="H154" s="46"/>
      <c r="I154" s="36"/>
      <c r="J154" s="14"/>
      <c r="Y154" s="118"/>
      <c r="AF154" s="182"/>
      <c r="AH154" s="15"/>
      <c r="AX154" s="15"/>
      <c r="BD154" s="15"/>
      <c r="BG154" s="15"/>
      <c r="DE154" s="15"/>
      <c r="DH154" s="15"/>
      <c r="DK154" s="15"/>
      <c r="DN154" s="15"/>
      <c r="DQ154" s="15"/>
      <c r="DT154" s="15"/>
      <c r="DW154" s="15"/>
      <c r="DZ154" s="15"/>
      <c r="EC154" s="15"/>
      <c r="EF154" s="15"/>
      <c r="EK154" s="15"/>
      <c r="EM154" s="15"/>
      <c r="EP154" s="15"/>
      <c r="ES154" s="15"/>
      <c r="FK154" s="227">
        <v>8800</v>
      </c>
      <c r="FL154" s="15">
        <f>FI154+FK154</f>
        <v>8800</v>
      </c>
      <c r="FO154" s="15">
        <f>FL154+FN154</f>
        <v>8800</v>
      </c>
      <c r="FR154" s="15">
        <v>8800</v>
      </c>
      <c r="FT154" s="15">
        <v>8792</v>
      </c>
      <c r="FV154" s="15">
        <v>0</v>
      </c>
      <c r="FW154" s="235">
        <f t="shared" ref="FW154:FW155" si="725">FV154/FT154</f>
        <v>0</v>
      </c>
    </row>
    <row r="155" spans="1:179" outlineLevel="1">
      <c r="A155" s="1" t="s">
        <v>179</v>
      </c>
      <c r="B155" s="1" t="s">
        <v>115</v>
      </c>
      <c r="C155" s="4" t="s">
        <v>116</v>
      </c>
      <c r="D155" s="43">
        <v>185000</v>
      </c>
      <c r="E155" s="34">
        <v>102.38</v>
      </c>
      <c r="F155" s="43">
        <v>235000</v>
      </c>
      <c r="G155" s="34">
        <v>80.599999999999994</v>
      </c>
      <c r="H155" s="46">
        <v>189400.07</v>
      </c>
      <c r="I155" s="36">
        <v>252000</v>
      </c>
      <c r="J155" s="14"/>
      <c r="K155" t="s">
        <v>332</v>
      </c>
      <c r="L155" s="118">
        <v>270000</v>
      </c>
      <c r="M155" s="17">
        <f>L155/F155-1</f>
        <v>0.14893617021276606</v>
      </c>
      <c r="N155" s="17">
        <f>L155/I155-1</f>
        <v>7.1428571428571397E-2</v>
      </c>
      <c r="Q155" s="118">
        <v>270000</v>
      </c>
      <c r="R155" s="15">
        <v>128630</v>
      </c>
      <c r="S155" s="118">
        <v>260000</v>
      </c>
      <c r="T155" s="15">
        <f>S155-Q155</f>
        <v>-10000</v>
      </c>
      <c r="U155" s="16">
        <f>S155/Q155-1</f>
        <v>-3.703703703703709E-2</v>
      </c>
      <c r="Y155" s="118">
        <v>260000</v>
      </c>
      <c r="AA155" s="118">
        <v>260000</v>
      </c>
      <c r="AB155" s="185">
        <f t="shared" ref="AB155" si="726">AA155-Y155</f>
        <v>0</v>
      </c>
      <c r="AC155" s="187">
        <f t="shared" ref="AC155" si="727">AA155-Y155</f>
        <v>0</v>
      </c>
      <c r="AD155" s="187"/>
      <c r="AE155" s="118">
        <v>260000</v>
      </c>
      <c r="AF155" s="182"/>
      <c r="AH155" s="15">
        <v>233955.72</v>
      </c>
      <c r="AI155" s="17">
        <f t="shared" ref="AI155" si="728">AH155/AE155</f>
        <v>0.89982969230769227</v>
      </c>
      <c r="AK155" s="118">
        <v>248000</v>
      </c>
      <c r="AS155" s="15">
        <f t="shared" ref="AS155" si="729">AR155+AK155</f>
        <v>248000</v>
      </c>
      <c r="AV155" s="15">
        <f t="shared" ref="AV155" si="730">AS155+AU155</f>
        <v>248000</v>
      </c>
      <c r="AX155" s="15"/>
      <c r="AY155" s="15">
        <f t="shared" ref="AY155" si="731">AV155+AX155</f>
        <v>248000</v>
      </c>
      <c r="BB155" s="15">
        <f t="shared" ref="BB155" si="732">AY155+BA155</f>
        <v>248000</v>
      </c>
      <c r="BD155" s="15">
        <v>-28000</v>
      </c>
      <c r="BE155" s="15">
        <f t="shared" ref="BE155" si="733">BB155+BD155</f>
        <v>220000</v>
      </c>
      <c r="BG155" s="15">
        <v>2500</v>
      </c>
      <c r="BH155" s="15">
        <f t="shared" ref="BH155" si="734">BE155+BG155</f>
        <v>222500</v>
      </c>
      <c r="BJ155" s="15">
        <v>222290.49</v>
      </c>
      <c r="BK155" s="235">
        <f t="shared" ref="BK155" si="735">BJ155/BH155</f>
        <v>0.99905838202247188</v>
      </c>
      <c r="BM155" s="15">
        <v>305000</v>
      </c>
      <c r="BN155" s="235">
        <f t="shared" ref="BN155" si="736">BM155/BJ155</f>
        <v>1.3720784906272869</v>
      </c>
      <c r="BO155" s="235">
        <f t="shared" ref="BO155" si="737">BM155/BH155</f>
        <v>1.3707865168539326</v>
      </c>
      <c r="BQ155" s="15"/>
      <c r="BR155" s="15">
        <f t="shared" ref="BR155" si="738">BM155+BQ155</f>
        <v>305000</v>
      </c>
      <c r="BT155" s="15"/>
      <c r="BU155" s="15">
        <f>BR155+BT155</f>
        <v>305000</v>
      </c>
      <c r="BW155" s="15"/>
      <c r="BX155" s="15">
        <f>BU155+BW155</f>
        <v>305000</v>
      </c>
      <c r="BZ155" s="15"/>
      <c r="CA155" s="15">
        <f>BX155+BZ155</f>
        <v>305000</v>
      </c>
      <c r="CC155" s="15"/>
      <c r="CD155" s="15">
        <f>CA155+CC155</f>
        <v>305000</v>
      </c>
      <c r="CF155" s="15"/>
      <c r="CG155" s="15">
        <f>CD155+CF155</f>
        <v>305000</v>
      </c>
      <c r="CI155" s="15"/>
      <c r="CJ155" s="15">
        <f>CG155+CI155</f>
        <v>305000</v>
      </c>
      <c r="CM155" s="15">
        <f>CJ155+CL155</f>
        <v>305000</v>
      </c>
      <c r="CO155" s="15">
        <v>35000</v>
      </c>
      <c r="CP155" s="15">
        <f>CM155+CO155</f>
        <v>340000</v>
      </c>
      <c r="CS155" s="15">
        <f>CP155+CR155</f>
        <v>340000</v>
      </c>
      <c r="CV155" s="15">
        <f>CS155+CU155</f>
        <v>340000</v>
      </c>
      <c r="CY155" s="15">
        <f>CV155+CX155</f>
        <v>340000</v>
      </c>
      <c r="DA155" s="15">
        <v>338492.6</v>
      </c>
      <c r="DC155" s="15">
        <f>360000+50*600*1.21+700</f>
        <v>397000</v>
      </c>
      <c r="DE155" s="15"/>
      <c r="DF155" s="15">
        <f t="shared" ref="DF155" si="739">DC155+DE155</f>
        <v>397000</v>
      </c>
      <c r="DH155" s="15"/>
      <c r="DI155" s="15">
        <f t="shared" ref="DI155" si="740">DF155+DH155</f>
        <v>397000</v>
      </c>
      <c r="DK155" s="15"/>
      <c r="DL155" s="15">
        <f t="shared" ref="DL155" si="741">DI155+DK155</f>
        <v>397000</v>
      </c>
      <c r="DN155" s="15"/>
      <c r="DO155" s="15">
        <f t="shared" ref="DO155" si="742">DL155+DN155</f>
        <v>397000</v>
      </c>
      <c r="DQ155" s="15"/>
      <c r="DR155" s="15">
        <f t="shared" ref="DR155:DR156" si="743">DO155+DQ155</f>
        <v>397000</v>
      </c>
      <c r="DT155" s="15"/>
      <c r="DU155" s="15">
        <f t="shared" ref="DU155:DU156" si="744">DR155+DT155</f>
        <v>397000</v>
      </c>
      <c r="DW155" s="15"/>
      <c r="DX155" s="15">
        <f t="shared" ref="DX155:DX156" si="745">DU155+DW155</f>
        <v>397000</v>
      </c>
      <c r="DZ155" s="15"/>
      <c r="EA155" s="15">
        <f t="shared" ref="EA155:EA156" si="746">DX155+DZ155</f>
        <v>397000</v>
      </c>
      <c r="EC155" s="227">
        <v>18000</v>
      </c>
      <c r="ED155" s="15">
        <f t="shared" ref="ED155:ED156" si="747">EA155+EC155</f>
        <v>415000</v>
      </c>
      <c r="EF155" s="227">
        <v>28200</v>
      </c>
      <c r="EG155" s="15">
        <f t="shared" ref="EG155:EG156" si="748">ED155+EF155</f>
        <v>443200</v>
      </c>
      <c r="EI155" s="15">
        <v>410992.59</v>
      </c>
      <c r="EK155" s="15">
        <v>470000</v>
      </c>
      <c r="EM155" s="15"/>
      <c r="EN155" s="15">
        <f>EK155+EM155</f>
        <v>470000</v>
      </c>
      <c r="EP155" s="15"/>
      <c r="EQ155" s="15">
        <f>EN155+EP155</f>
        <v>470000</v>
      </c>
      <c r="ES155" s="15"/>
      <c r="ET155" s="15">
        <f>EQ155+ES155</f>
        <v>470000</v>
      </c>
      <c r="EW155" s="15">
        <f>ET155+EV155</f>
        <v>470000</v>
      </c>
      <c r="EZ155" s="15">
        <f>EW155+EY155</f>
        <v>470000</v>
      </c>
      <c r="FC155" s="15">
        <f>EZ155+FB155</f>
        <v>470000</v>
      </c>
      <c r="FF155" s="15">
        <f>FC155+FE155</f>
        <v>470000</v>
      </c>
      <c r="FI155" s="15">
        <f>FF155+FH155</f>
        <v>470000</v>
      </c>
      <c r="FK155" s="227">
        <v>23400</v>
      </c>
      <c r="FL155" s="15">
        <f>FI155+FK155</f>
        <v>493400</v>
      </c>
      <c r="FO155" s="15">
        <f>FL155+FN155</f>
        <v>493400</v>
      </c>
      <c r="FR155" s="15">
        <v>493400</v>
      </c>
      <c r="FT155" s="15">
        <v>469391.7</v>
      </c>
      <c r="FV155" s="15">
        <v>480000</v>
      </c>
      <c r="FW155" s="235">
        <f t="shared" si="725"/>
        <v>1.022600101365235</v>
      </c>
    </row>
    <row r="156" spans="1:179" outlineLevel="1">
      <c r="A156" s="1" t="s">
        <v>624</v>
      </c>
      <c r="B156" s="1" t="s">
        <v>208</v>
      </c>
      <c r="C156" s="4" t="s">
        <v>614</v>
      </c>
      <c r="D156" s="43"/>
      <c r="E156" s="34"/>
      <c r="F156" s="43"/>
      <c r="G156" s="34"/>
      <c r="H156" s="46"/>
      <c r="I156" s="36"/>
      <c r="J156" s="14"/>
      <c r="M156" s="17"/>
      <c r="N156" s="17"/>
      <c r="U156" s="16"/>
      <c r="Y156" s="118"/>
      <c r="AB156" s="185"/>
      <c r="AC156" s="187"/>
      <c r="AD156" s="187"/>
      <c r="AF156" s="182"/>
      <c r="AH156" s="15"/>
      <c r="AI156" s="17"/>
      <c r="AS156" s="15"/>
      <c r="AV156" s="15"/>
      <c r="AX156" s="15"/>
      <c r="AY156" s="15"/>
      <c r="BB156" s="15"/>
      <c r="BD156" s="15"/>
      <c r="BE156" s="15"/>
      <c r="BG156" s="15"/>
      <c r="BH156" s="15"/>
      <c r="BK156" s="235"/>
      <c r="BM156" s="15"/>
      <c r="BN156" s="235"/>
      <c r="BO156" s="235"/>
      <c r="BQ156" s="15"/>
      <c r="BR156" s="15"/>
      <c r="BT156" s="15"/>
      <c r="BU156" s="15"/>
      <c r="BW156" s="15"/>
      <c r="BX156" s="15"/>
      <c r="BZ156" s="15"/>
      <c r="CA156" s="15"/>
      <c r="CC156" s="15"/>
      <c r="CD156" s="15"/>
      <c r="CF156" s="15"/>
      <c r="CG156" s="15"/>
      <c r="CI156" s="15"/>
      <c r="CJ156" s="15"/>
      <c r="CM156" s="15"/>
      <c r="CP156" s="15"/>
      <c r="CS156" s="15"/>
      <c r="CV156" s="15"/>
      <c r="CY156" s="15"/>
      <c r="DE156" s="15"/>
      <c r="DF156" s="15"/>
      <c r="DH156" s="15"/>
      <c r="DI156" s="15"/>
      <c r="DK156" s="15"/>
      <c r="DL156" s="15"/>
      <c r="DN156" s="15"/>
      <c r="DO156" s="15"/>
      <c r="DQ156" s="227">
        <v>35100</v>
      </c>
      <c r="DR156" s="15">
        <f t="shared" si="743"/>
        <v>35100</v>
      </c>
      <c r="DT156" s="227">
        <v>2000</v>
      </c>
      <c r="DU156" s="15">
        <f t="shared" si="744"/>
        <v>37100</v>
      </c>
      <c r="DW156" s="15"/>
      <c r="DX156" s="15">
        <f t="shared" si="745"/>
        <v>37100</v>
      </c>
      <c r="DZ156" s="15"/>
      <c r="EA156" s="15">
        <f t="shared" si="746"/>
        <v>37100</v>
      </c>
      <c r="EC156" s="15"/>
      <c r="ED156" s="15">
        <f t="shared" si="747"/>
        <v>37100</v>
      </c>
      <c r="EF156" s="15"/>
      <c r="EG156" s="15">
        <f t="shared" si="748"/>
        <v>37100</v>
      </c>
      <c r="EI156" s="15">
        <v>37033</v>
      </c>
      <c r="EK156" s="15">
        <v>0</v>
      </c>
      <c r="EM156" s="15"/>
      <c r="EN156" s="15">
        <f t="shared" ref="EN156" si="749">EK156+EM156</f>
        <v>0</v>
      </c>
      <c r="EP156" s="15"/>
      <c r="EQ156" s="15">
        <f t="shared" ref="EQ156" si="750">EN156+EP156</f>
        <v>0</v>
      </c>
      <c r="ES156" s="15"/>
      <c r="ET156" s="15">
        <f t="shared" ref="ET156" si="751">EQ156+ES156</f>
        <v>0</v>
      </c>
      <c r="EW156" s="15">
        <f t="shared" ref="EW156" si="752">ET156+EV156</f>
        <v>0</v>
      </c>
      <c r="EZ156" s="15">
        <f t="shared" ref="EZ156" si="753">EW156+EY156</f>
        <v>0</v>
      </c>
      <c r="FC156" s="15">
        <f t="shared" ref="FC156" si="754">EZ156+FB156</f>
        <v>0</v>
      </c>
      <c r="FF156" s="15">
        <f t="shared" ref="FF156" si="755">FC156+FE156</f>
        <v>0</v>
      </c>
      <c r="FI156" s="15">
        <f t="shared" ref="FI156" si="756">FF156+FH156</f>
        <v>0</v>
      </c>
      <c r="FL156" s="15">
        <f t="shared" ref="FL156" si="757">FI156+FK156</f>
        <v>0</v>
      </c>
      <c r="FO156" s="15">
        <f t="shared" ref="FO156" si="758">FL156+FN156</f>
        <v>0</v>
      </c>
      <c r="FR156" s="15">
        <v>0</v>
      </c>
    </row>
    <row r="157" spans="1:179" outlineLevel="1">
      <c r="A157" s="1" t="s">
        <v>179</v>
      </c>
      <c r="B157" s="4" t="s">
        <v>46</v>
      </c>
      <c r="C157" s="4" t="s">
        <v>180</v>
      </c>
      <c r="D157" s="43">
        <v>185000</v>
      </c>
      <c r="E157" s="34">
        <v>102.38</v>
      </c>
      <c r="F157" s="43">
        <v>235000</v>
      </c>
      <c r="G157" s="34">
        <v>80.599999999999994</v>
      </c>
      <c r="H157" s="46">
        <v>189400.07</v>
      </c>
      <c r="I157" s="36"/>
      <c r="J157" s="14"/>
      <c r="Y157" s="118"/>
      <c r="AF157" s="182"/>
      <c r="AH157" s="15"/>
      <c r="AX157" s="15"/>
      <c r="BD157" s="15"/>
      <c r="BG157" s="15"/>
      <c r="DE157" s="15"/>
      <c r="DH157" s="15"/>
      <c r="DK157" s="15"/>
      <c r="DN157" s="15"/>
      <c r="DQ157" s="15"/>
      <c r="DT157" s="15"/>
      <c r="DW157" s="15"/>
      <c r="DZ157" s="15"/>
      <c r="EC157" s="15"/>
      <c r="EF157" s="15"/>
      <c r="EK157" s="15"/>
      <c r="EM157" s="15"/>
      <c r="EP157" s="15"/>
      <c r="ES157" s="15"/>
    </row>
    <row r="158" spans="1:179" outlineLevel="1">
      <c r="A158" s="1" t="s">
        <v>181</v>
      </c>
      <c r="B158" s="1" t="s">
        <v>115</v>
      </c>
      <c r="C158" s="4" t="s">
        <v>116</v>
      </c>
      <c r="D158" s="43">
        <v>1000</v>
      </c>
      <c r="E158" s="34">
        <v>1136.46</v>
      </c>
      <c r="F158" s="43">
        <v>30000</v>
      </c>
      <c r="G158" s="34">
        <v>37.880000000000003</v>
      </c>
      <c r="H158" s="46">
        <v>11364.6</v>
      </c>
      <c r="I158" s="36">
        <v>15000</v>
      </c>
      <c r="J158" s="14"/>
      <c r="K158" t="s">
        <v>332</v>
      </c>
      <c r="L158" s="118">
        <v>15000</v>
      </c>
      <c r="M158" s="17">
        <f>L158/F158-1</f>
        <v>-0.5</v>
      </c>
      <c r="N158" s="17">
        <f>L158/I158-1</f>
        <v>0</v>
      </c>
      <c r="Q158" s="118">
        <v>15000</v>
      </c>
      <c r="R158" s="15">
        <v>8659</v>
      </c>
      <c r="S158" s="118">
        <v>16000</v>
      </c>
      <c r="T158" s="15">
        <f>S158-Q158</f>
        <v>1000</v>
      </c>
      <c r="U158" s="16">
        <f>S158/Q158-1</f>
        <v>6.6666666666666652E-2</v>
      </c>
      <c r="Y158" s="118">
        <v>16000</v>
      </c>
      <c r="AA158" s="118">
        <v>25000</v>
      </c>
      <c r="AB158" s="185">
        <f t="shared" ref="AB158:AB159" si="759">AA158-Y158</f>
        <v>9000</v>
      </c>
      <c r="AC158" s="187">
        <f t="shared" ref="AC158" si="760">AA158-Y158</f>
        <v>9000</v>
      </c>
      <c r="AD158" s="187"/>
      <c r="AE158" s="118">
        <v>25000</v>
      </c>
      <c r="AF158" s="182"/>
      <c r="AH158" s="15">
        <v>22945.57</v>
      </c>
      <c r="AI158" s="17">
        <f t="shared" ref="AI158" si="761">AH158/AE158</f>
        <v>0.91782279999999994</v>
      </c>
      <c r="AK158" s="118">
        <v>25000</v>
      </c>
      <c r="AS158" s="15">
        <f t="shared" ref="AS158:AS159" si="762">AR158+AK158</f>
        <v>25000</v>
      </c>
      <c r="AV158" s="15">
        <f t="shared" ref="AV158:AV159" si="763">AS158+AU158</f>
        <v>25000</v>
      </c>
      <c r="AX158" s="15"/>
      <c r="AY158" s="15">
        <f t="shared" ref="AY158:AY159" si="764">AV158+AX158</f>
        <v>25000</v>
      </c>
      <c r="BB158" s="15">
        <f t="shared" ref="BB158:BB159" si="765">AY158+BA158</f>
        <v>25000</v>
      </c>
      <c r="BD158" s="15">
        <v>-5000</v>
      </c>
      <c r="BE158" s="15">
        <f t="shared" ref="BE158:BE159" si="766">BB158+BD158</f>
        <v>20000</v>
      </c>
      <c r="BG158" s="15"/>
      <c r="BH158" s="15">
        <f t="shared" ref="BH158:BH159" si="767">BE158+BG158</f>
        <v>20000</v>
      </c>
      <c r="BJ158" s="15">
        <v>18299.57</v>
      </c>
      <c r="BK158" s="235">
        <f t="shared" ref="BK158" si="768">BJ158/BH158</f>
        <v>0.91497850000000003</v>
      </c>
      <c r="BM158" s="15">
        <v>25000</v>
      </c>
      <c r="BN158" s="235">
        <f t="shared" ref="BN158" si="769">BM158/BJ158</f>
        <v>1.3661523194260849</v>
      </c>
      <c r="BO158" s="235">
        <f t="shared" ref="BO158" si="770">BM158/BH158</f>
        <v>1.25</v>
      </c>
      <c r="BQ158" s="15"/>
      <c r="BR158" s="15">
        <f t="shared" ref="BR158" si="771">BM158+BQ158</f>
        <v>25000</v>
      </c>
      <c r="BT158" s="15"/>
      <c r="BU158" s="15">
        <f>BR158+BT158</f>
        <v>25000</v>
      </c>
      <c r="BW158" s="15"/>
      <c r="BX158" s="15">
        <f>BU158+BW158</f>
        <v>25000</v>
      </c>
      <c r="BZ158" s="15"/>
      <c r="CA158" s="15">
        <f>BX158+BZ158</f>
        <v>25000</v>
      </c>
      <c r="CC158" s="15"/>
      <c r="CD158" s="15">
        <f>CA158+CC158</f>
        <v>25000</v>
      </c>
      <c r="CF158" s="15"/>
      <c r="CG158" s="15">
        <f>CD158+CF158</f>
        <v>25000</v>
      </c>
      <c r="CI158" s="15"/>
      <c r="CJ158" s="15">
        <f>CG158+CI158</f>
        <v>25000</v>
      </c>
      <c r="CM158" s="15">
        <f>CJ158+CL158</f>
        <v>25000</v>
      </c>
      <c r="CO158" s="15">
        <v>2000</v>
      </c>
      <c r="CP158" s="15">
        <f>CM158+CO158</f>
        <v>27000</v>
      </c>
      <c r="CS158" s="15">
        <f>CP158+CR158</f>
        <v>27000</v>
      </c>
      <c r="CU158" s="227">
        <v>1500</v>
      </c>
      <c r="CV158" s="15">
        <f>CS158+CU158</f>
        <v>28500</v>
      </c>
      <c r="CX158" s="227"/>
      <c r="CY158" s="15">
        <f>CV158+CX158</f>
        <v>28500</v>
      </c>
      <c r="DA158" s="15">
        <v>28300.639999999999</v>
      </c>
      <c r="DC158" s="15">
        <v>35000</v>
      </c>
      <c r="DE158" s="15"/>
      <c r="DF158" s="15">
        <f t="shared" ref="DF158:DF159" si="772">DC158+DE158</f>
        <v>35000</v>
      </c>
      <c r="DH158" s="15"/>
      <c r="DI158" s="15">
        <f t="shared" ref="DI158:DI159" si="773">DF158+DH158</f>
        <v>35000</v>
      </c>
      <c r="DK158" s="15"/>
      <c r="DL158" s="15">
        <f t="shared" ref="DL158:DL159" si="774">DI158+DK158</f>
        <v>35000</v>
      </c>
      <c r="DN158" s="15"/>
      <c r="DO158" s="15">
        <f t="shared" ref="DO158:DO159" si="775">DL158+DN158</f>
        <v>35000</v>
      </c>
      <c r="DQ158" s="15"/>
      <c r="DR158" s="15">
        <f t="shared" ref="DR158:DR159" si="776">DO158+DQ158</f>
        <v>35000</v>
      </c>
      <c r="DT158" s="15"/>
      <c r="DU158" s="15">
        <f t="shared" ref="DU158:DU159" si="777">DR158+DT158</f>
        <v>35000</v>
      </c>
      <c r="DW158" s="15"/>
      <c r="DX158" s="15">
        <f t="shared" ref="DX158:DX159" si="778">DU158+DW158</f>
        <v>35000</v>
      </c>
      <c r="DZ158" s="15"/>
      <c r="EA158" s="15">
        <f t="shared" ref="EA158:EA159" si="779">DX158+DZ158</f>
        <v>35000</v>
      </c>
      <c r="EC158" s="227">
        <v>15000</v>
      </c>
      <c r="ED158" s="15">
        <f t="shared" ref="ED158:ED159" si="780">EA158+EC158</f>
        <v>50000</v>
      </c>
      <c r="EF158" s="227">
        <v>2000</v>
      </c>
      <c r="EG158" s="15">
        <f t="shared" ref="EG158:EG159" si="781">ED158+EF158</f>
        <v>52000</v>
      </c>
      <c r="EI158" s="15">
        <v>48372.22</v>
      </c>
      <c r="EK158" s="15">
        <v>50000</v>
      </c>
      <c r="EM158" s="15"/>
      <c r="EN158" s="15">
        <f t="shared" ref="EN158:EN159" si="782">EK158+EM158</f>
        <v>50000</v>
      </c>
      <c r="EP158" s="15"/>
      <c r="EQ158" s="15">
        <f t="shared" ref="EQ158:EQ159" si="783">EN158+EP158</f>
        <v>50000</v>
      </c>
      <c r="ES158" s="15"/>
      <c r="ET158" s="15">
        <f t="shared" ref="ET158:ET159" si="784">EQ158+ES158</f>
        <v>50000</v>
      </c>
      <c r="EW158" s="15">
        <f t="shared" ref="EW158:EW159" si="785">ET158+EV158</f>
        <v>50000</v>
      </c>
      <c r="EZ158" s="15">
        <f t="shared" ref="EZ158:EZ159" si="786">EW158+EY158</f>
        <v>50000</v>
      </c>
      <c r="FB158" s="227">
        <v>15000</v>
      </c>
      <c r="FC158" s="15">
        <f t="shared" ref="FC158:FC159" si="787">EZ158+FB158</f>
        <v>65000</v>
      </c>
      <c r="FF158" s="15">
        <f t="shared" ref="FF158:FF159" si="788">FC158+FE158</f>
        <v>65000</v>
      </c>
      <c r="FI158" s="15">
        <f t="shared" ref="FI158:FI159" si="789">FF158+FH158</f>
        <v>65000</v>
      </c>
      <c r="FK158" s="227">
        <v>-15000</v>
      </c>
      <c r="FL158" s="15">
        <f t="shared" ref="FL158:FL159" si="790">FI158+FK158</f>
        <v>50000</v>
      </c>
      <c r="FN158" s="227">
        <v>7000</v>
      </c>
      <c r="FO158" s="15">
        <f t="shared" ref="FO158:FO159" si="791">FL158+FN158</f>
        <v>57000</v>
      </c>
      <c r="FQ158" s="227">
        <v>3600</v>
      </c>
      <c r="FR158" s="15">
        <v>60600</v>
      </c>
      <c r="FT158" s="15">
        <v>60581.88</v>
      </c>
      <c r="FV158" s="15">
        <v>65000</v>
      </c>
      <c r="FW158" s="235">
        <f t="shared" ref="FW158" si="792">FV158/FT158</f>
        <v>1.0729280768440994</v>
      </c>
    </row>
    <row r="159" spans="1:179" outlineLevel="1">
      <c r="A159" s="1" t="s">
        <v>181</v>
      </c>
      <c r="B159" s="1" t="s">
        <v>199</v>
      </c>
      <c r="C159" s="4" t="s">
        <v>200</v>
      </c>
      <c r="D159" s="43"/>
      <c r="E159" s="34"/>
      <c r="F159" s="43"/>
      <c r="G159" s="34"/>
      <c r="H159" s="46"/>
      <c r="I159" s="36"/>
      <c r="J159" s="14"/>
      <c r="L159" s="118">
        <f>'[1]2020'!$Q$60</f>
        <v>100000</v>
      </c>
      <c r="M159" s="17" t="e">
        <f>L159/F159-1</f>
        <v>#DIV/0!</v>
      </c>
      <c r="N159" s="17" t="e">
        <f>L159/I159-1</f>
        <v>#DIV/0!</v>
      </c>
      <c r="Q159" s="118">
        <v>100000</v>
      </c>
      <c r="R159" s="15">
        <v>0</v>
      </c>
      <c r="S159" s="118">
        <v>0</v>
      </c>
      <c r="T159" s="15">
        <f>S159-Q159</f>
        <v>-100000</v>
      </c>
      <c r="U159" s="16">
        <f>S159/Q159-1</f>
        <v>-1</v>
      </c>
      <c r="Y159" s="118">
        <v>0</v>
      </c>
      <c r="AA159" s="118">
        <v>0</v>
      </c>
      <c r="AB159" s="185">
        <f t="shared" si="759"/>
        <v>0</v>
      </c>
      <c r="AE159" s="118">
        <v>0</v>
      </c>
      <c r="AF159" s="182"/>
      <c r="AH159" s="15">
        <v>0</v>
      </c>
      <c r="AK159" s="118">
        <f>'[3]2020'!$AM$60+700</f>
        <v>24700</v>
      </c>
      <c r="AS159" s="15">
        <f t="shared" si="762"/>
        <v>24700</v>
      </c>
      <c r="AV159" s="15">
        <f t="shared" si="763"/>
        <v>24700</v>
      </c>
      <c r="AX159" s="15"/>
      <c r="AY159" s="15">
        <f t="shared" si="764"/>
        <v>24700</v>
      </c>
      <c r="BB159" s="15">
        <f t="shared" si="765"/>
        <v>24700</v>
      </c>
      <c r="BD159" s="15">
        <v>-24700</v>
      </c>
      <c r="BE159" s="15">
        <f t="shared" si="766"/>
        <v>0</v>
      </c>
      <c r="BG159" s="15"/>
      <c r="BH159" s="15">
        <f t="shared" si="767"/>
        <v>0</v>
      </c>
      <c r="BM159" s="15"/>
      <c r="BN159" s="235" t="e">
        <f t="shared" ref="BN159" si="793">BM159/BJ159</f>
        <v>#DIV/0!</v>
      </c>
      <c r="BO159" s="235" t="e">
        <f t="shared" ref="BO159" si="794">BM159/BH159</f>
        <v>#DIV/0!</v>
      </c>
      <c r="BQ159" s="15"/>
      <c r="BR159" s="15"/>
      <c r="BT159" s="15"/>
      <c r="BU159" s="15"/>
      <c r="BW159" s="15"/>
      <c r="BX159" s="15"/>
      <c r="BZ159" s="15"/>
      <c r="CA159" s="15"/>
      <c r="CC159" s="15"/>
      <c r="CD159" s="15"/>
      <c r="CF159" s="15"/>
      <c r="CG159" s="15"/>
      <c r="CI159" s="15"/>
      <c r="CJ159" s="15"/>
      <c r="CM159" s="15"/>
      <c r="CP159" s="15"/>
      <c r="CS159" s="15"/>
      <c r="CV159" s="15"/>
      <c r="CY159" s="15"/>
      <c r="DE159" s="15"/>
      <c r="DF159" s="15">
        <f t="shared" si="772"/>
        <v>0</v>
      </c>
      <c r="DH159" s="15"/>
      <c r="DI159" s="15">
        <f t="shared" si="773"/>
        <v>0</v>
      </c>
      <c r="DK159" s="15"/>
      <c r="DL159" s="15">
        <f t="shared" si="774"/>
        <v>0</v>
      </c>
      <c r="DN159" s="15"/>
      <c r="DO159" s="15">
        <f t="shared" si="775"/>
        <v>0</v>
      </c>
      <c r="DQ159" s="15"/>
      <c r="DR159" s="15">
        <f t="shared" si="776"/>
        <v>0</v>
      </c>
      <c r="DT159" s="15"/>
      <c r="DU159" s="15">
        <f t="shared" si="777"/>
        <v>0</v>
      </c>
      <c r="DW159" s="15"/>
      <c r="DX159" s="15">
        <f t="shared" si="778"/>
        <v>0</v>
      </c>
      <c r="DZ159" s="15"/>
      <c r="EA159" s="15">
        <f t="shared" si="779"/>
        <v>0</v>
      </c>
      <c r="EC159" s="15"/>
      <c r="ED159" s="15">
        <f t="shared" si="780"/>
        <v>0</v>
      </c>
      <c r="EF159" s="15"/>
      <c r="EG159" s="15">
        <f t="shared" si="781"/>
        <v>0</v>
      </c>
      <c r="EK159" s="15"/>
      <c r="EM159" s="15"/>
      <c r="EN159" s="15">
        <f t="shared" si="782"/>
        <v>0</v>
      </c>
      <c r="EP159" s="15"/>
      <c r="EQ159" s="15">
        <f t="shared" si="783"/>
        <v>0</v>
      </c>
      <c r="ES159" s="15"/>
      <c r="ET159" s="15">
        <f t="shared" si="784"/>
        <v>0</v>
      </c>
      <c r="EW159" s="15">
        <f t="shared" si="785"/>
        <v>0</v>
      </c>
      <c r="EZ159" s="15">
        <f t="shared" si="786"/>
        <v>0</v>
      </c>
      <c r="FC159" s="15">
        <f t="shared" si="787"/>
        <v>0</v>
      </c>
      <c r="FF159" s="15">
        <f t="shared" si="788"/>
        <v>0</v>
      </c>
      <c r="FI159" s="15">
        <f t="shared" si="789"/>
        <v>0</v>
      </c>
      <c r="FL159" s="15">
        <f t="shared" si="790"/>
        <v>0</v>
      </c>
      <c r="FO159" s="15">
        <f t="shared" si="791"/>
        <v>0</v>
      </c>
      <c r="FR159" s="15">
        <v>0</v>
      </c>
    </row>
    <row r="160" spans="1:179" outlineLevel="1">
      <c r="A160" s="1" t="s">
        <v>181</v>
      </c>
      <c r="B160" s="4" t="s">
        <v>46</v>
      </c>
      <c r="C160" s="4" t="s">
        <v>182</v>
      </c>
      <c r="D160" s="43">
        <v>1000</v>
      </c>
      <c r="E160" s="34">
        <v>1136.46</v>
      </c>
      <c r="F160" s="43">
        <v>30000</v>
      </c>
      <c r="G160" s="34">
        <v>37.880000000000003</v>
      </c>
      <c r="H160" s="46">
        <v>11364.6</v>
      </c>
      <c r="I160" s="36"/>
      <c r="J160" s="14"/>
      <c r="Y160" s="118"/>
      <c r="AF160" s="182"/>
      <c r="AH160" s="15"/>
      <c r="AX160" s="15"/>
      <c r="BD160" s="15"/>
      <c r="BG160" s="15"/>
      <c r="DE160" s="15"/>
      <c r="DH160" s="15"/>
      <c r="DK160" s="15"/>
      <c r="DN160" s="15"/>
      <c r="DQ160" s="15"/>
      <c r="DT160" s="15"/>
      <c r="DW160" s="15"/>
      <c r="DZ160" s="15"/>
      <c r="EC160" s="15"/>
      <c r="EF160" s="15"/>
      <c r="EK160" s="15"/>
      <c r="EM160" s="15"/>
      <c r="EP160" s="15"/>
      <c r="ES160" s="15"/>
    </row>
    <row r="161" spans="1:179" outlineLevel="1">
      <c r="A161" s="1" t="s">
        <v>69</v>
      </c>
      <c r="B161" s="4" t="s">
        <v>48</v>
      </c>
      <c r="C161" s="4" t="s">
        <v>70</v>
      </c>
      <c r="D161" s="43">
        <v>198000</v>
      </c>
      <c r="E161" s="34">
        <v>105.79</v>
      </c>
      <c r="F161" s="43">
        <v>277000</v>
      </c>
      <c r="G161" s="34">
        <v>75.62</v>
      </c>
      <c r="H161" s="46">
        <v>209465.67</v>
      </c>
      <c r="I161" s="36"/>
      <c r="J161" s="14"/>
      <c r="Y161" s="118"/>
      <c r="AF161" s="182"/>
      <c r="AH161" s="15"/>
      <c r="AX161" s="15"/>
      <c r="BD161" s="15"/>
      <c r="BG161" s="15"/>
      <c r="DE161" s="15"/>
      <c r="DH161" s="15"/>
      <c r="DK161" s="15"/>
      <c r="DN161" s="15"/>
      <c r="DQ161" s="15"/>
      <c r="DT161" s="15"/>
      <c r="DW161" s="15"/>
      <c r="DZ161" s="15"/>
      <c r="EC161" s="15"/>
      <c r="EF161" s="15"/>
      <c r="EK161" s="15"/>
      <c r="EM161" s="15"/>
      <c r="EP161" s="15"/>
      <c r="ES161" s="15"/>
    </row>
    <row r="162" spans="1:179" ht="15" customHeight="1" thickBot="1">
      <c r="A162" s="54" t="s">
        <v>181</v>
      </c>
      <c r="B162" s="55" t="s">
        <v>316</v>
      </c>
      <c r="C162" s="56" t="s">
        <v>341</v>
      </c>
      <c r="D162" s="57">
        <f>D152+D155+D158</f>
        <v>198000</v>
      </c>
      <c r="E162" s="58"/>
      <c r="F162" s="57">
        <f>F152+F155+F158</f>
        <v>277000</v>
      </c>
      <c r="G162" s="58"/>
      <c r="H162" s="57"/>
      <c r="I162" s="57">
        <f>I152+I155+I158</f>
        <v>277000</v>
      </c>
      <c r="J162" s="138" t="e">
        <f>I162/$I$332</f>
        <v>#REF!</v>
      </c>
      <c r="K162" s="60"/>
      <c r="L162" s="122">
        <f>L152+L155+L158</f>
        <v>300000</v>
      </c>
      <c r="M162" s="61">
        <f t="shared" ref="M162:M181" si="795">L162/F162-1</f>
        <v>8.3032490974729312E-2</v>
      </c>
      <c r="N162" s="61">
        <f t="shared" ref="N162:N181" si="796">L162/I162-1</f>
        <v>8.3032490974729312E-2</v>
      </c>
      <c r="O162" s="17">
        <f>L162/$L$332</f>
        <v>6.9605569737458378E-2</v>
      </c>
      <c r="P162" s="17"/>
      <c r="Q162" s="122">
        <f>Q152+Q155+Q158</f>
        <v>300000</v>
      </c>
      <c r="R162" s="122">
        <f>R152+R155+R158</f>
        <v>141828</v>
      </c>
      <c r="S162" s="122">
        <f>S152+S155+S158</f>
        <v>286000</v>
      </c>
      <c r="T162" s="122">
        <f>T152+T155+T158</f>
        <v>-14000</v>
      </c>
      <c r="U162" s="155">
        <f>S162/Q162-1</f>
        <v>-4.6666666666666634E-2</v>
      </c>
      <c r="Y162" s="122">
        <f>Y152+Y155+Y158</f>
        <v>286000</v>
      </c>
      <c r="AA162" s="122">
        <f>AA152+AA155+AA158</f>
        <v>293500</v>
      </c>
      <c r="AB162" s="122">
        <f>AB152+AB155+AB158</f>
        <v>7500</v>
      </c>
      <c r="AE162" s="122">
        <f>AE152+AE155+AE158</f>
        <v>293500</v>
      </c>
      <c r="AF162" s="182"/>
      <c r="AH162" s="122">
        <f>AH152+AH155+AH158</f>
        <v>264179.46999999997</v>
      </c>
      <c r="AI162" s="17">
        <f t="shared" ref="AI162" si="797">AH162/AE162</f>
        <v>0.90010040885860298</v>
      </c>
      <c r="AK162" s="122">
        <f>AK152+AK155+AK158</f>
        <v>280500</v>
      </c>
      <c r="AL162" s="193">
        <f t="shared" ref="AL162:AL163" si="798">AK162/L162</f>
        <v>0.93500000000000005</v>
      </c>
      <c r="AM162" s="17">
        <f>AK162/AE162</f>
        <v>0.95570698466780235</v>
      </c>
      <c r="AN162" s="17">
        <f>AK162/AH162</f>
        <v>1.0617781919238465</v>
      </c>
      <c r="AS162" s="122">
        <f>AS152+AS155+AS158</f>
        <v>280500</v>
      </c>
      <c r="AU162" s="122">
        <f>AU152+AU155+AU158</f>
        <v>0</v>
      </c>
      <c r="AV162" s="122">
        <f>AV152+AV155+AV158</f>
        <v>280500</v>
      </c>
      <c r="AX162" s="122">
        <f>AX152+AX155+AX158</f>
        <v>0</v>
      </c>
      <c r="AY162" s="122">
        <f>AY152+AY155+AY158</f>
        <v>280500</v>
      </c>
      <c r="BA162" s="122">
        <f>BA152+BA155+BA158</f>
        <v>0</v>
      </c>
      <c r="BB162" s="122">
        <f>BB152+BB155+BB158</f>
        <v>280500</v>
      </c>
      <c r="BD162" s="122">
        <f>BD152+BD155+BD158</f>
        <v>-33000</v>
      </c>
      <c r="BE162" s="122">
        <f>BE152+BE155+BE158</f>
        <v>247500</v>
      </c>
      <c r="BG162" s="122">
        <f>BG152+BG155+BG158</f>
        <v>2500</v>
      </c>
      <c r="BH162" s="122">
        <f>BH152+BH155+BH158</f>
        <v>250000</v>
      </c>
      <c r="BJ162" s="122">
        <f>BJ152+BJ155+BJ158</f>
        <v>246616.06</v>
      </c>
      <c r="BK162" s="236">
        <f t="shared" ref="BK162:BK163" si="799">BJ162/BH162</f>
        <v>0.98646423999999999</v>
      </c>
      <c r="BM162" s="122">
        <f>BM152+BM155+BM158</f>
        <v>338000</v>
      </c>
      <c r="BN162" s="236">
        <f t="shared" ref="BN162:BN163" si="800">BM162/BJ162</f>
        <v>1.3705514555702496</v>
      </c>
      <c r="BO162" s="236">
        <f t="shared" ref="BO162:BO163" si="801">BM162/BH162</f>
        <v>1.3520000000000001</v>
      </c>
      <c r="BQ162" s="122">
        <f>BQ152+BQ155+BQ158</f>
        <v>0</v>
      </c>
      <c r="BR162" s="122">
        <f>BR152+BR155+BR158</f>
        <v>338000</v>
      </c>
      <c r="BT162" s="122">
        <f>BT152+BT155+BT158</f>
        <v>0</v>
      </c>
      <c r="BU162" s="122">
        <f>BU152+BU155+BU158</f>
        <v>338000</v>
      </c>
      <c r="BW162" s="122">
        <f>BW152+BW155+BW158</f>
        <v>0</v>
      </c>
      <c r="BX162" s="122">
        <f>BX152+BX155+BX158</f>
        <v>338000</v>
      </c>
      <c r="BZ162" s="122">
        <f>BZ152+BZ155+BZ158</f>
        <v>0</v>
      </c>
      <c r="CA162" s="122">
        <f>CA152+CA155+CA158</f>
        <v>338000</v>
      </c>
      <c r="CC162" s="122">
        <f>CC152+CC155+CC158</f>
        <v>0</v>
      </c>
      <c r="CD162" s="122">
        <f>CD152+CD155+CD158</f>
        <v>338000</v>
      </c>
      <c r="CF162" s="122">
        <f>CF152+CF155+CF158</f>
        <v>0</v>
      </c>
      <c r="CG162" s="122">
        <f>CG152+CG155+CG158</f>
        <v>338000</v>
      </c>
      <c r="CI162" s="122">
        <f>CI152+CI155+CI158</f>
        <v>0</v>
      </c>
      <c r="CJ162" s="122">
        <f>CJ152+CJ155+CJ158</f>
        <v>338000</v>
      </c>
      <c r="CL162" s="319">
        <f>CL152+CL155+CL158</f>
        <v>0</v>
      </c>
      <c r="CM162" s="122">
        <f>CM152+CM155+CM158</f>
        <v>338000</v>
      </c>
      <c r="CO162" s="122">
        <f>CO152+CO155+CO158</f>
        <v>35000</v>
      </c>
      <c r="CP162" s="122">
        <f>CP152+CP155+CP158</f>
        <v>373000</v>
      </c>
      <c r="CR162" s="122">
        <f>CR152+CR155+CR158</f>
        <v>0</v>
      </c>
      <c r="CS162" s="122">
        <f>CS152+CS155+CS158</f>
        <v>373000</v>
      </c>
      <c r="CU162" s="122">
        <f>CU152+CU155+CU158</f>
        <v>1500</v>
      </c>
      <c r="CV162" s="122">
        <f>CV152+CV155+CV158</f>
        <v>374500</v>
      </c>
      <c r="CX162" s="122">
        <f>CX152+CX155+CX158</f>
        <v>0</v>
      </c>
      <c r="CY162" s="122">
        <f>CY152+CY155+CY158</f>
        <v>374500</v>
      </c>
      <c r="DA162" s="122">
        <f>DA152+DA155+DA158</f>
        <v>372449.01</v>
      </c>
      <c r="DC162" s="122">
        <f>DC152+DC155+DC158</f>
        <v>439000</v>
      </c>
      <c r="DE162" s="122">
        <f>DE152+DE155+DE158</f>
        <v>0</v>
      </c>
      <c r="DF162" s="122">
        <f>DF152+DF155+DF158</f>
        <v>439000</v>
      </c>
      <c r="DH162" s="122">
        <f>DH152+DH155+DH158</f>
        <v>0</v>
      </c>
      <c r="DI162" s="122">
        <f>DI152+DI155+DI158</f>
        <v>439000</v>
      </c>
      <c r="DK162" s="122">
        <f>DK152+DK155+DK158</f>
        <v>0</v>
      </c>
      <c r="DL162" s="122">
        <f>DL152+DL155+DL158</f>
        <v>439000</v>
      </c>
      <c r="DN162" s="122">
        <f>DN152+DN155+DN158</f>
        <v>0</v>
      </c>
      <c r="DO162" s="122">
        <f>DO152+DO155+DO158</f>
        <v>439000</v>
      </c>
      <c r="DQ162" s="122">
        <f>DQ152+DQ155+DQ158</f>
        <v>0</v>
      </c>
      <c r="DR162" s="122">
        <f>DR152+DR155+DR158</f>
        <v>439000</v>
      </c>
      <c r="DT162" s="122">
        <f>DT152+DT155+DT158</f>
        <v>0</v>
      </c>
      <c r="DU162" s="122">
        <f>DU152+DU155+DU158</f>
        <v>439000</v>
      </c>
      <c r="DW162" s="122">
        <f>DW152+DW155+DW158</f>
        <v>0</v>
      </c>
      <c r="DX162" s="122">
        <f>DX152+DX155+DX158</f>
        <v>439000</v>
      </c>
      <c r="DZ162" s="122">
        <f>DZ152+DZ155+DZ158</f>
        <v>750</v>
      </c>
      <c r="EA162" s="122">
        <f>EA152+EA155+EA158</f>
        <v>439750</v>
      </c>
      <c r="EC162" s="122">
        <f>EC152+EC155+EC158</f>
        <v>33000</v>
      </c>
      <c r="ED162" s="122">
        <f>ED152+ED155+ED158</f>
        <v>472750</v>
      </c>
      <c r="EF162" s="122">
        <f>EF152+EF155+EF158</f>
        <v>30200</v>
      </c>
      <c r="EG162" s="122">
        <f>EG152+EG155+EG158</f>
        <v>502950</v>
      </c>
      <c r="EI162" s="122">
        <f>EI152+EI155+EI158</f>
        <v>467091.70000000007</v>
      </c>
      <c r="EK162" s="122">
        <f>EK152+EK155+EK158</f>
        <v>528000</v>
      </c>
      <c r="EL162" s="377">
        <f>EK162/EI162-1</f>
        <v>0.13039902014957638</v>
      </c>
      <c r="EM162" s="122">
        <f>EM152+EM155+EM158</f>
        <v>0</v>
      </c>
      <c r="EN162" s="122">
        <f>EN152+EN155+EN158</f>
        <v>528000</v>
      </c>
      <c r="EP162" s="122">
        <f>EP152+EP155+EP158</f>
        <v>0</v>
      </c>
      <c r="EQ162" s="122">
        <f>EQ152+EQ155+EQ158</f>
        <v>528000</v>
      </c>
      <c r="ES162" s="122">
        <f>ES152+ES155+ES158</f>
        <v>0</v>
      </c>
      <c r="ET162" s="122">
        <f>ET152+ET155+ET158</f>
        <v>528000</v>
      </c>
      <c r="EV162" s="122">
        <f>EV152+EV155+EV158</f>
        <v>0</v>
      </c>
      <c r="EW162" s="122">
        <f>EW152+EW155+EW158</f>
        <v>528000</v>
      </c>
      <c r="EY162" s="122">
        <f>EY152+EY155+EY158</f>
        <v>0</v>
      </c>
      <c r="EZ162" s="122">
        <f>EZ152+EZ155+EZ158</f>
        <v>528000</v>
      </c>
      <c r="FB162" s="122">
        <f>FB152+FB155+FB158</f>
        <v>15000</v>
      </c>
      <c r="FC162" s="122">
        <f>FC152+FC155+FC158</f>
        <v>543000</v>
      </c>
      <c r="FE162" s="122">
        <f>FE152+FE155+FE158</f>
        <v>1350</v>
      </c>
      <c r="FF162" s="122">
        <f>FF152+FF155+FF158</f>
        <v>544350</v>
      </c>
      <c r="FH162" s="122">
        <f>FH152+FH155+FH158</f>
        <v>0</v>
      </c>
      <c r="FI162" s="122">
        <f>FI152+FI155+FI158</f>
        <v>544350</v>
      </c>
      <c r="FK162" s="122">
        <f>FK152+FK155+FK158+FK154</f>
        <v>17200</v>
      </c>
      <c r="FL162" s="122">
        <f>FL152+FL155+FL158+FL154</f>
        <v>561550</v>
      </c>
      <c r="FN162" s="122">
        <f>FN152+FN155+FN158+FN154</f>
        <v>7000</v>
      </c>
      <c r="FO162" s="122">
        <f>FO152+FO155+FO158+FO154</f>
        <v>568550</v>
      </c>
      <c r="FQ162" s="122">
        <v>3600</v>
      </c>
      <c r="FR162" s="122">
        <v>572150</v>
      </c>
      <c r="FT162" s="122">
        <f>FT152+FT155+FT158+FT154</f>
        <v>548104.87</v>
      </c>
      <c r="FV162" s="122">
        <f>FV152+FV155+FV158+FV154</f>
        <v>557000</v>
      </c>
      <c r="FW162" s="235">
        <f t="shared" ref="FW162:FW181" si="802">FV162/FT162</f>
        <v>1.0162288833521951</v>
      </c>
    </row>
    <row r="163" spans="1:179" ht="14.25" customHeight="1" thickTop="1" thickBot="1">
      <c r="A163" s="75" t="s">
        <v>181</v>
      </c>
      <c r="B163" s="76" t="s">
        <v>277</v>
      </c>
      <c r="C163" s="285" t="s">
        <v>347</v>
      </c>
      <c r="D163" s="78">
        <f>D159</f>
        <v>0</v>
      </c>
      <c r="E163" s="79"/>
      <c r="F163" s="78">
        <f>F159</f>
        <v>0</v>
      </c>
      <c r="G163" s="79"/>
      <c r="H163" s="78"/>
      <c r="I163" s="78">
        <f>I159</f>
        <v>0</v>
      </c>
      <c r="J163" s="80"/>
      <c r="K163" s="77"/>
      <c r="L163" s="124">
        <f>L159</f>
        <v>100000</v>
      </c>
      <c r="M163" s="81" t="e">
        <f t="shared" si="795"/>
        <v>#DIV/0!</v>
      </c>
      <c r="N163" s="81" t="e">
        <f t="shared" si="796"/>
        <v>#DIV/0!</v>
      </c>
      <c r="Q163" s="124">
        <f>Q159</f>
        <v>100000</v>
      </c>
      <c r="R163" s="124">
        <f>R159</f>
        <v>0</v>
      </c>
      <c r="S163" s="124">
        <f>S159</f>
        <v>0</v>
      </c>
      <c r="T163" s="124">
        <f>T159</f>
        <v>-100000</v>
      </c>
      <c r="U163" s="156">
        <f>S163/Q163-1</f>
        <v>-1</v>
      </c>
      <c r="Y163" s="124">
        <f>Y159</f>
        <v>0</v>
      </c>
      <c r="AA163" s="124">
        <f>AA159</f>
        <v>0</v>
      </c>
      <c r="AB163" s="124">
        <f>AB159</f>
        <v>0</v>
      </c>
      <c r="AE163" s="124">
        <f>AE159</f>
        <v>0</v>
      </c>
      <c r="AF163" s="182"/>
      <c r="AH163" s="124">
        <f>AH159</f>
        <v>0</v>
      </c>
      <c r="AK163" s="124">
        <f>AK159</f>
        <v>24700</v>
      </c>
      <c r="AL163" s="193">
        <f t="shared" si="798"/>
        <v>0.247</v>
      </c>
      <c r="AM163" s="17" t="e">
        <f>AK163/AE163</f>
        <v>#DIV/0!</v>
      </c>
      <c r="AN163" s="17" t="e">
        <f>AK163/AH163</f>
        <v>#DIV/0!</v>
      </c>
      <c r="AS163" s="124">
        <f>AS159</f>
        <v>24700</v>
      </c>
      <c r="AU163" s="124">
        <f>AU159</f>
        <v>0</v>
      </c>
      <c r="AV163" s="124">
        <f>AV159</f>
        <v>24700</v>
      </c>
      <c r="AX163" s="124">
        <f>AX159</f>
        <v>0</v>
      </c>
      <c r="AY163" s="124">
        <f>AY159</f>
        <v>24700</v>
      </c>
      <c r="BA163" s="124">
        <f>BA159</f>
        <v>0</v>
      </c>
      <c r="BB163" s="124">
        <f>BB159</f>
        <v>24700</v>
      </c>
      <c r="BD163" s="124">
        <f>BD159</f>
        <v>-24700</v>
      </c>
      <c r="BE163" s="124">
        <f>BE159</f>
        <v>0</v>
      </c>
      <c r="BG163" s="124">
        <f>BG159</f>
        <v>0</v>
      </c>
      <c r="BH163" s="124">
        <f>BH159</f>
        <v>0</v>
      </c>
      <c r="BJ163" s="124">
        <f>BJ159</f>
        <v>0</v>
      </c>
      <c r="BK163" s="237" t="e">
        <f t="shared" si="799"/>
        <v>#DIV/0!</v>
      </c>
      <c r="BM163" s="124">
        <f>BM159</f>
        <v>0</v>
      </c>
      <c r="BN163" s="237" t="e">
        <f t="shared" si="800"/>
        <v>#DIV/0!</v>
      </c>
      <c r="BO163" s="237" t="e">
        <f t="shared" si="801"/>
        <v>#DIV/0!</v>
      </c>
      <c r="BQ163" s="124">
        <f>BQ159</f>
        <v>0</v>
      </c>
      <c r="BR163" s="124">
        <f>BR159</f>
        <v>0</v>
      </c>
      <c r="BT163" s="124">
        <f>BT159</f>
        <v>0</v>
      </c>
      <c r="BU163" s="124">
        <f>BU159</f>
        <v>0</v>
      </c>
      <c r="BW163" s="124">
        <f>BW159</f>
        <v>0</v>
      </c>
      <c r="BX163" s="124">
        <f>BX159</f>
        <v>0</v>
      </c>
      <c r="BZ163" s="124">
        <f>BZ159</f>
        <v>0</v>
      </c>
      <c r="CA163" s="124">
        <f>CA159</f>
        <v>0</v>
      </c>
      <c r="CC163" s="124">
        <f>CC159</f>
        <v>0</v>
      </c>
      <c r="CD163" s="124">
        <f>CD159</f>
        <v>0</v>
      </c>
      <c r="CF163" s="124">
        <f>CF159</f>
        <v>0</v>
      </c>
      <c r="CG163" s="124">
        <f>CG159</f>
        <v>0</v>
      </c>
      <c r="CI163" s="124">
        <f>CI159</f>
        <v>0</v>
      </c>
      <c r="CJ163" s="124">
        <f>CJ159</f>
        <v>0</v>
      </c>
      <c r="CL163" s="319">
        <f>CL159</f>
        <v>0</v>
      </c>
      <c r="CM163" s="124">
        <f>CM159</f>
        <v>0</v>
      </c>
      <c r="CO163" s="124">
        <f>CO159</f>
        <v>0</v>
      </c>
      <c r="CP163" s="124">
        <f>CP159</f>
        <v>0</v>
      </c>
      <c r="CR163" s="124">
        <f>CR159</f>
        <v>0</v>
      </c>
      <c r="CS163" s="124">
        <f>CS159</f>
        <v>0</v>
      </c>
      <c r="CU163" s="124">
        <f>CU159</f>
        <v>0</v>
      </c>
      <c r="CV163" s="124">
        <f>CV159</f>
        <v>0</v>
      </c>
      <c r="CX163" s="124">
        <f>CX159</f>
        <v>0</v>
      </c>
      <c r="CY163" s="124">
        <f>CY159</f>
        <v>0</v>
      </c>
      <c r="DA163" s="124">
        <f>DA159</f>
        <v>0</v>
      </c>
      <c r="DC163" s="124">
        <f>DC159</f>
        <v>0</v>
      </c>
      <c r="DE163" s="124">
        <f>DE159</f>
        <v>0</v>
      </c>
      <c r="DF163" s="124">
        <f>DF159</f>
        <v>0</v>
      </c>
      <c r="DH163" s="124">
        <f>DH159</f>
        <v>0</v>
      </c>
      <c r="DI163" s="124">
        <f>DI159</f>
        <v>0</v>
      </c>
      <c r="DK163" s="124">
        <f>DK159</f>
        <v>0</v>
      </c>
      <c r="DL163" s="124">
        <f>DL159</f>
        <v>0</v>
      </c>
      <c r="DN163" s="124">
        <f>DN159</f>
        <v>0</v>
      </c>
      <c r="DO163" s="124">
        <f>DO159</f>
        <v>0</v>
      </c>
      <c r="DQ163" s="124">
        <f>DQ159+DQ156</f>
        <v>35100</v>
      </c>
      <c r="DR163" s="124">
        <f>DR159+DR156</f>
        <v>35100</v>
      </c>
      <c r="DT163" s="124">
        <f>DT159+DT156</f>
        <v>2000</v>
      </c>
      <c r="DU163" s="124">
        <f>DU159+DU156</f>
        <v>37100</v>
      </c>
      <c r="DW163" s="124">
        <f>DW159+DW156</f>
        <v>0</v>
      </c>
      <c r="DX163" s="124">
        <f>DX159+DX156</f>
        <v>37100</v>
      </c>
      <c r="DZ163" s="124">
        <f>DZ159+DZ156</f>
        <v>0</v>
      </c>
      <c r="EA163" s="124">
        <f>EA159+EA156</f>
        <v>37100</v>
      </c>
      <c r="EC163" s="124">
        <f>EC159+EC156</f>
        <v>0</v>
      </c>
      <c r="ED163" s="124">
        <f>ED159+ED156</f>
        <v>37100</v>
      </c>
      <c r="EF163" s="124">
        <f>EF159+EF156</f>
        <v>0</v>
      </c>
      <c r="EG163" s="124">
        <f>EG159+EG156</f>
        <v>37100</v>
      </c>
      <c r="EI163" s="124">
        <f>EI159+EI156</f>
        <v>37033</v>
      </c>
      <c r="EK163" s="124">
        <f>EK159+EK156</f>
        <v>0</v>
      </c>
      <c r="EL163" s="377">
        <f>EK163/EI163-1</f>
        <v>-1</v>
      </c>
      <c r="EM163" s="124">
        <f>EM159+EM156</f>
        <v>0</v>
      </c>
      <c r="EN163" s="124">
        <f>EN159+EN156</f>
        <v>0</v>
      </c>
      <c r="EP163" s="124">
        <f>EP159+EP156</f>
        <v>0</v>
      </c>
      <c r="EQ163" s="124">
        <f>EQ159+EQ156</f>
        <v>0</v>
      </c>
      <c r="ES163" s="124">
        <f>ES159+ES156</f>
        <v>0</v>
      </c>
      <c r="ET163" s="124">
        <f>ET159+ET156</f>
        <v>0</v>
      </c>
      <c r="EV163" s="124">
        <f>EV159+EV156</f>
        <v>0</v>
      </c>
      <c r="EW163" s="124">
        <f>EW159+EW156</f>
        <v>0</v>
      </c>
      <c r="EY163" s="124">
        <f>EY159+EY156</f>
        <v>0</v>
      </c>
      <c r="EZ163" s="124">
        <f>EZ159+EZ156</f>
        <v>0</v>
      </c>
      <c r="FB163" s="124">
        <f>FB159+FB156</f>
        <v>0</v>
      </c>
      <c r="FC163" s="124">
        <f>FC159+FC156</f>
        <v>0</v>
      </c>
      <c r="FE163" s="124">
        <f>FE159+FE156</f>
        <v>0</v>
      </c>
      <c r="FF163" s="124">
        <f>FF159+FF156</f>
        <v>0</v>
      </c>
      <c r="FH163" s="124">
        <f>FH159+FH156</f>
        <v>0</v>
      </c>
      <c r="FI163" s="124">
        <f>FI159+FI156</f>
        <v>0</v>
      </c>
      <c r="FK163" s="124">
        <f>FK159+FK156</f>
        <v>0</v>
      </c>
      <c r="FL163" s="124">
        <f>FL159+FL156</f>
        <v>0</v>
      </c>
      <c r="FN163" s="124">
        <f>FN159+FN156</f>
        <v>0</v>
      </c>
      <c r="FO163" s="124">
        <f>FO159+FO156</f>
        <v>0</v>
      </c>
      <c r="FQ163" s="124">
        <v>0</v>
      </c>
      <c r="FR163" s="124">
        <v>0</v>
      </c>
      <c r="FT163" s="124">
        <f>FT159+FT156</f>
        <v>0</v>
      </c>
      <c r="FV163" s="124">
        <f>FV159+FV156</f>
        <v>0</v>
      </c>
      <c r="FW163" s="235" t="e">
        <f t="shared" si="802"/>
        <v>#DIV/0!</v>
      </c>
    </row>
    <row r="164" spans="1:179" ht="15.75" outlineLevel="1" thickTop="1">
      <c r="A164" s="1" t="s">
        <v>71</v>
      </c>
      <c r="B164" s="1" t="s">
        <v>183</v>
      </c>
      <c r="C164" s="4" t="s">
        <v>184</v>
      </c>
      <c r="D164" s="43">
        <v>300000</v>
      </c>
      <c r="E164" s="34">
        <v>56.24</v>
      </c>
      <c r="F164" s="43">
        <v>300000</v>
      </c>
      <c r="G164" s="34">
        <v>56.24</v>
      </c>
      <c r="H164" s="46">
        <v>168730</v>
      </c>
      <c r="I164" s="36">
        <f>H164+2*'[2]2020'!$C$20+5000</f>
        <v>177730</v>
      </c>
      <c r="J164" s="14"/>
      <c r="K164" t="s">
        <v>332</v>
      </c>
      <c r="L164" s="118">
        <f>12*'[2]2020'!$D$21+10000+758</f>
        <v>204000.00000000003</v>
      </c>
      <c r="M164" s="17">
        <f t="shared" si="795"/>
        <v>-0.31999999999999995</v>
      </c>
      <c r="N164" s="17">
        <f t="shared" si="796"/>
        <v>0.14780847352726068</v>
      </c>
      <c r="Q164" s="118">
        <v>203000</v>
      </c>
      <c r="R164" s="15">
        <v>103806</v>
      </c>
      <c r="S164" s="118">
        <v>240000</v>
      </c>
      <c r="T164" s="15">
        <f t="shared" ref="T164:T181" si="803">S164-Q164</f>
        <v>37000</v>
      </c>
      <c r="U164" s="16">
        <f t="shared" ref="U164:U181" si="804">S164/Q164-1</f>
        <v>0.18226600985221686</v>
      </c>
      <c r="V164" s="140">
        <v>203000</v>
      </c>
      <c r="W164">
        <v>-1000</v>
      </c>
      <c r="Y164" s="118">
        <v>240000</v>
      </c>
      <c r="AA164" s="118">
        <v>300000</v>
      </c>
      <c r="AB164" s="185">
        <f t="shared" ref="AB164:AB181" si="805">AA164-Y164</f>
        <v>60000</v>
      </c>
      <c r="AC164" s="187">
        <f t="shared" ref="AC164:AC175" si="806">AA164-Y164</f>
        <v>60000</v>
      </c>
      <c r="AD164" s="187"/>
      <c r="AE164" s="118">
        <v>300000</v>
      </c>
      <c r="AF164" s="182"/>
      <c r="AH164" s="15">
        <v>279010</v>
      </c>
      <c r="AI164" s="17">
        <f t="shared" ref="AI164:AI181" si="807">AH164/AE164</f>
        <v>0.93003333333333338</v>
      </c>
      <c r="AK164" s="118">
        <v>300000</v>
      </c>
      <c r="AS164" s="15">
        <f t="shared" ref="AS164:AS181" si="808">AR164+AK164</f>
        <v>300000</v>
      </c>
      <c r="AV164" s="15">
        <f t="shared" ref="AV164:AV181" si="809">AS164+AU164</f>
        <v>300000</v>
      </c>
      <c r="AX164" s="15"/>
      <c r="AY164" s="15">
        <f t="shared" ref="AY164:AY181" si="810">AV164+AX164</f>
        <v>300000</v>
      </c>
      <c r="BB164" s="15">
        <f t="shared" ref="BB164:BB181" si="811">AY164+BA164</f>
        <v>300000</v>
      </c>
      <c r="BD164" s="15">
        <v>40000</v>
      </c>
      <c r="BE164" s="15">
        <f t="shared" ref="BE164:BE181" si="812">BB164+BD164</f>
        <v>340000</v>
      </c>
      <c r="BG164" s="15"/>
      <c r="BH164" s="15">
        <f t="shared" ref="BH164:BH181" si="813">BE164+BG164</f>
        <v>340000</v>
      </c>
      <c r="BJ164" s="15">
        <v>319485</v>
      </c>
      <c r="BK164" s="235">
        <f t="shared" ref="BK164:BK181" si="814">BJ164/BH164</f>
        <v>0.93966176470588236</v>
      </c>
      <c r="BM164" s="15">
        <v>350000</v>
      </c>
      <c r="BN164" s="235">
        <f t="shared" ref="BN164:BN181" si="815">BM164/BJ164</f>
        <v>1.0955130913814419</v>
      </c>
      <c r="BO164" s="235">
        <f>BM164/BH164</f>
        <v>1.0294117647058822</v>
      </c>
      <c r="BQ164" s="15"/>
      <c r="BR164" s="15">
        <f t="shared" ref="BR164:BR179" si="816">BM164+BQ164</f>
        <v>350000</v>
      </c>
      <c r="BT164" s="15"/>
      <c r="BU164" s="15">
        <f t="shared" ref="BU164:BU181" si="817">BR164+BT164</f>
        <v>350000</v>
      </c>
      <c r="BW164" s="15"/>
      <c r="BX164" s="15">
        <f t="shared" ref="BX164:BX181" si="818">BU164+BW164</f>
        <v>350000</v>
      </c>
      <c r="BZ164" s="15"/>
      <c r="CA164" s="15">
        <f t="shared" ref="CA164:CA181" si="819">BX164+BZ164</f>
        <v>350000</v>
      </c>
      <c r="CC164" s="15"/>
      <c r="CD164" s="15">
        <f t="shared" ref="CD164:CD181" si="820">CA164+CC164</f>
        <v>350000</v>
      </c>
      <c r="CF164" s="15"/>
      <c r="CG164" s="15">
        <f t="shared" ref="CG164:CG182" si="821">CD164+CF164</f>
        <v>350000</v>
      </c>
      <c r="CI164" s="15"/>
      <c r="CJ164" s="15">
        <f t="shared" ref="CJ164:CJ182" si="822">CG164+CI164</f>
        <v>350000</v>
      </c>
      <c r="CL164" s="15">
        <v>-80000</v>
      </c>
      <c r="CM164" s="15">
        <f t="shared" ref="CM164:CM182" si="823">CJ164+CL164</f>
        <v>270000</v>
      </c>
      <c r="CO164" s="15">
        <v>45000</v>
      </c>
      <c r="CP164" s="15">
        <f t="shared" ref="CP164:CP182" si="824">CM164+CO164</f>
        <v>315000</v>
      </c>
      <c r="CS164" s="15">
        <f t="shared" ref="CS164:CS183" si="825">CP164+CR164</f>
        <v>315000</v>
      </c>
      <c r="CU164" s="227">
        <v>12000</v>
      </c>
      <c r="CV164" s="15">
        <f t="shared" ref="CV164:CV183" si="826">CS164+CU164</f>
        <v>327000</v>
      </c>
      <c r="CX164" s="227"/>
      <c r="CY164" s="15">
        <f t="shared" ref="CY164:CY183" si="827">CV164+CX164</f>
        <v>327000</v>
      </c>
      <c r="DA164" s="15">
        <v>326384</v>
      </c>
      <c r="DC164" s="15">
        <v>380000</v>
      </c>
      <c r="DE164" s="15"/>
      <c r="DF164" s="15">
        <f t="shared" ref="DF164:DF173" si="828">DC164+DE164</f>
        <v>380000</v>
      </c>
      <c r="DH164" s="15"/>
      <c r="DI164" s="15">
        <f t="shared" ref="DI164:DI178" si="829">DF164+DH164</f>
        <v>380000</v>
      </c>
      <c r="DK164" s="15"/>
      <c r="DL164" s="15">
        <f t="shared" ref="DL164:DL178" si="830">DI164+DK164</f>
        <v>380000</v>
      </c>
      <c r="DN164" s="15"/>
      <c r="DO164" s="15">
        <f t="shared" ref="DO164:DO178" si="831">DL164+DN164</f>
        <v>380000</v>
      </c>
      <c r="DQ164" s="227">
        <v>50000</v>
      </c>
      <c r="DR164" s="15">
        <f t="shared" ref="DR164:DR178" si="832">DO164+DQ164</f>
        <v>430000</v>
      </c>
      <c r="DT164" s="15"/>
      <c r="DU164" s="15">
        <f t="shared" ref="DU164:DU178" si="833">DR164+DT164</f>
        <v>430000</v>
      </c>
      <c r="DW164" s="15"/>
      <c r="DX164" s="15">
        <f t="shared" ref="DX164:DX178" si="834">DU164+DW164</f>
        <v>430000</v>
      </c>
      <c r="DZ164" s="15"/>
      <c r="EA164" s="15">
        <f t="shared" ref="EA164:EA178" si="835">DX164+DZ164</f>
        <v>430000</v>
      </c>
      <c r="EC164" s="227">
        <v>75000</v>
      </c>
      <c r="ED164" s="15">
        <f t="shared" ref="ED164:ED178" si="836">EA164+EC164</f>
        <v>505000</v>
      </c>
      <c r="EF164" s="227">
        <f>20000-843</f>
        <v>19157</v>
      </c>
      <c r="EG164" s="15">
        <f t="shared" ref="EG164:EG178" si="837">ED164+EF164</f>
        <v>524157</v>
      </c>
      <c r="EI164" s="15">
        <v>524157</v>
      </c>
      <c r="EK164" s="15">
        <f>415000-35000</f>
        <v>380000</v>
      </c>
      <c r="EM164" s="227">
        <v>10000</v>
      </c>
      <c r="EN164" s="15">
        <f t="shared" ref="EN164:EN178" si="838">EK164+EM164</f>
        <v>390000</v>
      </c>
      <c r="EP164" s="227">
        <v>88000</v>
      </c>
      <c r="EQ164" s="15">
        <f t="shared" ref="EQ164:EQ178" si="839">EN164+EP164</f>
        <v>478000</v>
      </c>
      <c r="ES164" s="15"/>
      <c r="ET164" s="15">
        <f t="shared" ref="ET164:ET178" si="840">EQ164+ES164</f>
        <v>478000</v>
      </c>
      <c r="EV164" s="227">
        <v>-20000</v>
      </c>
      <c r="EW164" s="15">
        <f t="shared" ref="EW164:EW178" si="841">ET164+EV164</f>
        <v>458000</v>
      </c>
      <c r="EZ164" s="15">
        <f t="shared" ref="EZ164:EZ178" si="842">EW164+EY164</f>
        <v>458000</v>
      </c>
      <c r="FC164" s="15">
        <f t="shared" ref="FC164:FC178" si="843">EZ164+FB164</f>
        <v>458000</v>
      </c>
      <c r="FF164" s="15">
        <f t="shared" ref="FF164:FF178" si="844">FC164+FE164</f>
        <v>458000</v>
      </c>
      <c r="FI164" s="15">
        <f>FF164+FH164</f>
        <v>458000</v>
      </c>
      <c r="FK164" s="227">
        <v>26000</v>
      </c>
      <c r="FL164" s="15">
        <f t="shared" ref="FL164:FL178" si="845">FI164+FK164</f>
        <v>484000</v>
      </c>
      <c r="FN164" s="227">
        <v>15000</v>
      </c>
      <c r="FO164" s="15">
        <f t="shared" ref="FO164:FO178" si="846">FL164+FN164</f>
        <v>499000</v>
      </c>
      <c r="FR164" s="15">
        <v>499000</v>
      </c>
      <c r="FT164" s="15">
        <v>498314</v>
      </c>
      <c r="FV164" s="15">
        <v>510000</v>
      </c>
      <c r="FW164" s="235">
        <f t="shared" si="802"/>
        <v>1.0234510770317511</v>
      </c>
    </row>
    <row r="165" spans="1:179" outlineLevel="1">
      <c r="A165" s="1" t="s">
        <v>71</v>
      </c>
      <c r="B165" s="1" t="s">
        <v>142</v>
      </c>
      <c r="C165" s="4" t="s">
        <v>143</v>
      </c>
      <c r="D165" s="43">
        <v>120000</v>
      </c>
      <c r="E165" s="34">
        <v>87.9</v>
      </c>
      <c r="F165" s="43">
        <v>120000</v>
      </c>
      <c r="G165" s="34">
        <v>87.9</v>
      </c>
      <c r="H165" s="46">
        <v>105484</v>
      </c>
      <c r="I165" s="36">
        <v>106000</v>
      </c>
      <c r="J165" s="14"/>
      <c r="K165" t="s">
        <v>332</v>
      </c>
      <c r="L165" s="118">
        <v>130000</v>
      </c>
      <c r="M165" s="17">
        <f t="shared" si="795"/>
        <v>8.3333333333333259E-2</v>
      </c>
      <c r="N165" s="17">
        <f t="shared" si="796"/>
        <v>0.22641509433962259</v>
      </c>
      <c r="Q165" s="118">
        <v>79581</v>
      </c>
      <c r="R165" s="15">
        <v>30656</v>
      </c>
      <c r="S165" s="118">
        <v>45000</v>
      </c>
      <c r="T165" s="15">
        <f t="shared" si="803"/>
        <v>-34581</v>
      </c>
      <c r="U165" s="16">
        <f t="shared" si="804"/>
        <v>-0.43453839484299017</v>
      </c>
      <c r="V165" s="140">
        <v>120500</v>
      </c>
      <c r="W165">
        <v>-9500</v>
      </c>
      <c r="Y165" s="118">
        <v>45000</v>
      </c>
      <c r="AA165" s="118">
        <v>38000</v>
      </c>
      <c r="AB165" s="185">
        <f t="shared" si="805"/>
        <v>-7000</v>
      </c>
      <c r="AC165" s="187">
        <f t="shared" si="806"/>
        <v>-7000</v>
      </c>
      <c r="AD165" s="187"/>
      <c r="AE165" s="118">
        <v>38000</v>
      </c>
      <c r="AF165" s="182"/>
      <c r="AH165" s="15">
        <v>36776</v>
      </c>
      <c r="AI165" s="17">
        <f t="shared" si="807"/>
        <v>0.96778947368421053</v>
      </c>
      <c r="AK165" s="118">
        <v>50000</v>
      </c>
      <c r="AS165" s="15">
        <f t="shared" si="808"/>
        <v>50000</v>
      </c>
      <c r="AV165" s="15">
        <f t="shared" si="809"/>
        <v>50000</v>
      </c>
      <c r="AX165" s="15"/>
      <c r="AY165" s="15">
        <f t="shared" si="810"/>
        <v>50000</v>
      </c>
      <c r="BB165" s="15">
        <f t="shared" si="811"/>
        <v>50000</v>
      </c>
      <c r="BD165" s="15">
        <v>-10000</v>
      </c>
      <c r="BE165" s="15">
        <f t="shared" si="812"/>
        <v>40000</v>
      </c>
      <c r="BG165" s="15"/>
      <c r="BH165" s="15">
        <f t="shared" si="813"/>
        <v>40000</v>
      </c>
      <c r="BJ165" s="15">
        <v>25789</v>
      </c>
      <c r="BK165" s="235">
        <f t="shared" si="814"/>
        <v>0.64472499999999999</v>
      </c>
      <c r="BM165" s="15">
        <v>60000</v>
      </c>
      <c r="BN165" s="235">
        <f t="shared" si="815"/>
        <v>2.3265733452247082</v>
      </c>
      <c r="BO165" s="235">
        <f t="shared" ref="BO165:BO181" si="847">BM165/BH165</f>
        <v>1.5</v>
      </c>
      <c r="BQ165" s="15"/>
      <c r="BR165" s="15">
        <f t="shared" si="816"/>
        <v>60000</v>
      </c>
      <c r="BT165" s="15"/>
      <c r="BU165" s="15">
        <f t="shared" si="817"/>
        <v>60000</v>
      </c>
      <c r="BW165" s="15"/>
      <c r="BX165" s="15">
        <f t="shared" si="818"/>
        <v>60000</v>
      </c>
      <c r="BZ165" s="15"/>
      <c r="CA165" s="15">
        <f t="shared" si="819"/>
        <v>60000</v>
      </c>
      <c r="CC165" s="15"/>
      <c r="CD165" s="15">
        <f t="shared" si="820"/>
        <v>60000</v>
      </c>
      <c r="CF165" s="15"/>
      <c r="CG165" s="15">
        <f t="shared" si="821"/>
        <v>60000</v>
      </c>
      <c r="CI165" s="15"/>
      <c r="CJ165" s="15">
        <f t="shared" si="822"/>
        <v>60000</v>
      </c>
      <c r="CM165" s="15">
        <f t="shared" si="823"/>
        <v>60000</v>
      </c>
      <c r="CP165" s="15">
        <f t="shared" si="824"/>
        <v>60000</v>
      </c>
      <c r="CS165" s="15">
        <f t="shared" si="825"/>
        <v>60000</v>
      </c>
      <c r="CU165" s="227">
        <v>-11500</v>
      </c>
      <c r="CV165" s="15">
        <f t="shared" si="826"/>
        <v>48500</v>
      </c>
      <c r="CX165" s="227"/>
      <c r="CY165" s="15">
        <f t="shared" si="827"/>
        <v>48500</v>
      </c>
      <c r="DA165" s="15">
        <v>48392</v>
      </c>
      <c r="DC165" s="15">
        <v>60000</v>
      </c>
      <c r="DE165" s="15"/>
      <c r="DF165" s="15">
        <f t="shared" si="828"/>
        <v>60000</v>
      </c>
      <c r="DH165" s="15"/>
      <c r="DI165" s="15">
        <f t="shared" si="829"/>
        <v>60000</v>
      </c>
      <c r="DK165" s="15"/>
      <c r="DL165" s="15">
        <f t="shared" si="830"/>
        <v>60000</v>
      </c>
      <c r="DN165" s="15"/>
      <c r="DO165" s="15">
        <f t="shared" si="831"/>
        <v>60000</v>
      </c>
      <c r="DQ165" s="15"/>
      <c r="DR165" s="15">
        <f t="shared" si="832"/>
        <v>60000</v>
      </c>
      <c r="DT165" s="15"/>
      <c r="DU165" s="15">
        <f t="shared" si="833"/>
        <v>60000</v>
      </c>
      <c r="DW165" s="15"/>
      <c r="DX165" s="15">
        <f t="shared" si="834"/>
        <v>60000</v>
      </c>
      <c r="DZ165" s="15"/>
      <c r="EA165" s="15">
        <f t="shared" si="835"/>
        <v>60000</v>
      </c>
      <c r="EC165" s="227">
        <v>12000</v>
      </c>
      <c r="ED165" s="15">
        <f t="shared" si="836"/>
        <v>72000</v>
      </c>
      <c r="EF165" s="227">
        <v>-19000</v>
      </c>
      <c r="EG165" s="15">
        <f t="shared" si="837"/>
        <v>53000</v>
      </c>
      <c r="EI165" s="15">
        <v>51074</v>
      </c>
      <c r="EK165" s="15">
        <v>90000</v>
      </c>
      <c r="EM165" s="15"/>
      <c r="EN165" s="15">
        <f t="shared" si="838"/>
        <v>90000</v>
      </c>
      <c r="EP165" s="15"/>
      <c r="EQ165" s="15">
        <f t="shared" si="839"/>
        <v>90000</v>
      </c>
      <c r="ES165" s="15"/>
      <c r="ET165" s="15">
        <f t="shared" si="840"/>
        <v>90000</v>
      </c>
      <c r="EW165" s="15">
        <f t="shared" si="841"/>
        <v>90000</v>
      </c>
      <c r="EZ165" s="15">
        <f t="shared" si="842"/>
        <v>90000</v>
      </c>
      <c r="FC165" s="15">
        <f t="shared" si="843"/>
        <v>90000</v>
      </c>
      <c r="FF165" s="15">
        <f t="shared" si="844"/>
        <v>90000</v>
      </c>
      <c r="FI165" s="15">
        <f t="shared" ref="FI165:FI178" si="848">FF165+FH165</f>
        <v>90000</v>
      </c>
      <c r="FK165" s="227">
        <v>12000</v>
      </c>
      <c r="FL165" s="15">
        <f t="shared" si="845"/>
        <v>102000</v>
      </c>
      <c r="FO165" s="15">
        <f t="shared" si="846"/>
        <v>102000</v>
      </c>
      <c r="FR165" s="15">
        <v>102000</v>
      </c>
      <c r="FT165" s="15">
        <v>86354</v>
      </c>
      <c r="FV165" s="15">
        <v>100000</v>
      </c>
      <c r="FW165" s="235">
        <f t="shared" si="802"/>
        <v>1.1580239479352432</v>
      </c>
    </row>
    <row r="166" spans="1:179" outlineLevel="1">
      <c r="A166" s="1" t="s">
        <v>71</v>
      </c>
      <c r="B166" s="1" t="s">
        <v>185</v>
      </c>
      <c r="C166" s="4" t="s">
        <v>186</v>
      </c>
      <c r="D166" s="43">
        <v>65000</v>
      </c>
      <c r="E166" s="34">
        <v>60.84</v>
      </c>
      <c r="F166" s="43">
        <v>65000</v>
      </c>
      <c r="G166" s="34">
        <v>60.84</v>
      </c>
      <c r="H166" s="46">
        <v>39544</v>
      </c>
      <c r="I166" s="36">
        <f>H166*1.2</f>
        <v>47452.799999999996</v>
      </c>
      <c r="J166" s="14"/>
      <c r="K166" t="s">
        <v>332</v>
      </c>
      <c r="L166" s="118">
        <v>50000</v>
      </c>
      <c r="M166" s="17">
        <f t="shared" si="795"/>
        <v>-0.23076923076923073</v>
      </c>
      <c r="N166" s="17">
        <f t="shared" si="796"/>
        <v>5.3678602737878611E-2</v>
      </c>
      <c r="Q166" s="118">
        <v>50000</v>
      </c>
      <c r="R166" s="15">
        <v>25195</v>
      </c>
      <c r="S166" s="118">
        <v>58000</v>
      </c>
      <c r="T166" s="15">
        <f t="shared" si="803"/>
        <v>8000</v>
      </c>
      <c r="U166" s="16">
        <f t="shared" si="804"/>
        <v>0.15999999999999992</v>
      </c>
      <c r="Y166" s="118">
        <v>58000</v>
      </c>
      <c r="AA166" s="118">
        <v>70000</v>
      </c>
      <c r="AB166" s="185">
        <f t="shared" si="805"/>
        <v>12000</v>
      </c>
      <c r="AC166" s="187">
        <f t="shared" si="806"/>
        <v>12000</v>
      </c>
      <c r="AD166" s="187"/>
      <c r="AE166" s="118">
        <v>70000</v>
      </c>
      <c r="AF166" s="182"/>
      <c r="AH166" s="15">
        <v>66832</v>
      </c>
      <c r="AI166" s="17">
        <f t="shared" si="807"/>
        <v>0.95474285714285712</v>
      </c>
      <c r="AK166" s="118">
        <v>69000</v>
      </c>
      <c r="AS166" s="15">
        <f t="shared" si="808"/>
        <v>69000</v>
      </c>
      <c r="AV166" s="15">
        <f t="shared" si="809"/>
        <v>69000</v>
      </c>
      <c r="AX166" s="15"/>
      <c r="AY166" s="15">
        <f t="shared" si="810"/>
        <v>69000</v>
      </c>
      <c r="BB166" s="15">
        <f t="shared" si="811"/>
        <v>69000</v>
      </c>
      <c r="BD166" s="15">
        <v>10000</v>
      </c>
      <c r="BE166" s="15">
        <f t="shared" si="812"/>
        <v>79000</v>
      </c>
      <c r="BG166" s="15"/>
      <c r="BH166" s="15">
        <f t="shared" si="813"/>
        <v>79000</v>
      </c>
      <c r="BJ166" s="15">
        <v>78258</v>
      </c>
      <c r="BK166" s="235">
        <f t="shared" si="814"/>
        <v>0.99060759493670891</v>
      </c>
      <c r="BM166" s="15">
        <f>BM164*0.245</f>
        <v>85750</v>
      </c>
      <c r="BN166" s="235">
        <f t="shared" si="815"/>
        <v>1.0957346213805617</v>
      </c>
      <c r="BO166" s="235">
        <f t="shared" si="847"/>
        <v>1.0854430379746836</v>
      </c>
      <c r="BQ166" s="15"/>
      <c r="BR166" s="15">
        <f t="shared" si="816"/>
        <v>85750</v>
      </c>
      <c r="BT166" s="15"/>
      <c r="BU166" s="15">
        <f t="shared" si="817"/>
        <v>85750</v>
      </c>
      <c r="BW166" s="15"/>
      <c r="BX166" s="15">
        <f t="shared" si="818"/>
        <v>85750</v>
      </c>
      <c r="BZ166" s="15"/>
      <c r="CA166" s="15">
        <f t="shared" si="819"/>
        <v>85750</v>
      </c>
      <c r="CC166" s="15"/>
      <c r="CD166" s="15">
        <f t="shared" si="820"/>
        <v>85750</v>
      </c>
      <c r="CF166" s="15"/>
      <c r="CG166" s="15">
        <f t="shared" si="821"/>
        <v>85750</v>
      </c>
      <c r="CI166" s="15"/>
      <c r="CJ166" s="15">
        <f t="shared" si="822"/>
        <v>85750</v>
      </c>
      <c r="CM166" s="15">
        <f t="shared" si="823"/>
        <v>85750</v>
      </c>
      <c r="CP166" s="15">
        <f t="shared" si="824"/>
        <v>85750</v>
      </c>
      <c r="CS166" s="15">
        <f t="shared" si="825"/>
        <v>85750</v>
      </c>
      <c r="CU166" s="227">
        <v>-3750</v>
      </c>
      <c r="CV166" s="15">
        <f t="shared" si="826"/>
        <v>82000</v>
      </c>
      <c r="CX166" s="227"/>
      <c r="CY166" s="15">
        <f t="shared" si="827"/>
        <v>82000</v>
      </c>
      <c r="DA166" s="15">
        <v>81593</v>
      </c>
      <c r="DC166" s="15">
        <f>DC164*0.25</f>
        <v>95000</v>
      </c>
      <c r="DE166" s="15"/>
      <c r="DF166" s="15">
        <f t="shared" si="828"/>
        <v>95000</v>
      </c>
      <c r="DH166" s="15"/>
      <c r="DI166" s="15">
        <f t="shared" si="829"/>
        <v>95000</v>
      </c>
      <c r="DK166" s="15"/>
      <c r="DL166" s="15">
        <f t="shared" si="830"/>
        <v>95000</v>
      </c>
      <c r="DN166" s="15"/>
      <c r="DO166" s="15">
        <f t="shared" si="831"/>
        <v>95000</v>
      </c>
      <c r="DQ166" s="227">
        <v>15000</v>
      </c>
      <c r="DR166" s="15">
        <f t="shared" si="832"/>
        <v>110000</v>
      </c>
      <c r="DT166" s="15"/>
      <c r="DU166" s="15">
        <f t="shared" si="833"/>
        <v>110000</v>
      </c>
      <c r="DW166" s="15"/>
      <c r="DX166" s="15">
        <f t="shared" si="834"/>
        <v>110000</v>
      </c>
      <c r="DZ166" s="15"/>
      <c r="EA166" s="15">
        <f t="shared" si="835"/>
        <v>110000</v>
      </c>
      <c r="EC166" s="227">
        <v>20000</v>
      </c>
      <c r="ED166" s="15">
        <f t="shared" si="836"/>
        <v>130000</v>
      </c>
      <c r="EE166">
        <f>EF166*ED164</f>
        <v>-168165000</v>
      </c>
      <c r="EF166" s="227">
        <v>-333</v>
      </c>
      <c r="EG166" s="15">
        <f t="shared" si="837"/>
        <v>129667</v>
      </c>
      <c r="EI166" s="15">
        <v>129667</v>
      </c>
      <c r="EK166" s="15">
        <f>98000-7000</f>
        <v>91000</v>
      </c>
      <c r="EM166" s="15"/>
      <c r="EN166" s="15">
        <f t="shared" si="838"/>
        <v>91000</v>
      </c>
      <c r="EP166" s="227">
        <v>21000</v>
      </c>
      <c r="EQ166" s="15">
        <f t="shared" si="839"/>
        <v>112000</v>
      </c>
      <c r="ES166" s="15"/>
      <c r="ET166" s="15">
        <f t="shared" si="840"/>
        <v>112000</v>
      </c>
      <c r="EW166" s="15">
        <f t="shared" si="841"/>
        <v>112000</v>
      </c>
      <c r="EZ166" s="15">
        <f t="shared" si="842"/>
        <v>112000</v>
      </c>
      <c r="FC166" s="15">
        <f t="shared" si="843"/>
        <v>112000</v>
      </c>
      <c r="FF166" s="15">
        <f t="shared" si="844"/>
        <v>112000</v>
      </c>
      <c r="FI166" s="15">
        <f t="shared" si="848"/>
        <v>112000</v>
      </c>
      <c r="FK166" s="227">
        <v>5000</v>
      </c>
      <c r="FL166" s="15">
        <f t="shared" si="845"/>
        <v>117000</v>
      </c>
      <c r="FN166" s="227">
        <v>1000</v>
      </c>
      <c r="FO166" s="15">
        <f t="shared" si="846"/>
        <v>118000</v>
      </c>
      <c r="FR166" s="15">
        <v>118000</v>
      </c>
      <c r="FT166" s="15">
        <v>117947</v>
      </c>
      <c r="FV166" s="15">
        <v>121000</v>
      </c>
      <c r="FW166" s="235">
        <f t="shared" si="802"/>
        <v>1.0258845074482608</v>
      </c>
    </row>
    <row r="167" spans="1:179" outlineLevel="1">
      <c r="A167" s="1" t="s">
        <v>71</v>
      </c>
      <c r="B167" s="1" t="s">
        <v>187</v>
      </c>
      <c r="C167" s="4" t="s">
        <v>188</v>
      </c>
      <c r="D167" s="43">
        <v>25000</v>
      </c>
      <c r="E167" s="34">
        <v>67.08</v>
      </c>
      <c r="F167" s="43">
        <v>25000</v>
      </c>
      <c r="G167" s="34">
        <v>67.08</v>
      </c>
      <c r="H167" s="46">
        <v>16770</v>
      </c>
      <c r="I167" s="36">
        <f>H167*1.2</f>
        <v>20124</v>
      </c>
      <c r="J167" s="14"/>
      <c r="K167" t="s">
        <v>332</v>
      </c>
      <c r="L167" s="118">
        <v>25000</v>
      </c>
      <c r="M167" s="17">
        <f t="shared" si="795"/>
        <v>0</v>
      </c>
      <c r="N167" s="17">
        <f t="shared" si="796"/>
        <v>0.242297753925661</v>
      </c>
      <c r="Q167" s="118">
        <v>25000</v>
      </c>
      <c r="R167" s="15">
        <v>9165</v>
      </c>
      <c r="S167" s="118">
        <v>22000</v>
      </c>
      <c r="T167" s="15">
        <f t="shared" si="803"/>
        <v>-3000</v>
      </c>
      <c r="U167" s="16">
        <f t="shared" si="804"/>
        <v>-0.12</v>
      </c>
      <c r="Y167" s="118">
        <v>22000</v>
      </c>
      <c r="AA167" s="118">
        <v>27000</v>
      </c>
      <c r="AB167" s="185">
        <f t="shared" si="805"/>
        <v>5000</v>
      </c>
      <c r="AC167" s="187">
        <f t="shared" si="806"/>
        <v>5000</v>
      </c>
      <c r="AD167" s="187"/>
      <c r="AE167" s="118">
        <v>27000</v>
      </c>
      <c r="AF167" s="182"/>
      <c r="AH167" s="15">
        <v>24513</v>
      </c>
      <c r="AI167" s="17">
        <f t="shared" si="807"/>
        <v>0.90788888888888886</v>
      </c>
      <c r="AK167" s="118">
        <v>27000</v>
      </c>
      <c r="AS167" s="15">
        <f t="shared" si="808"/>
        <v>27000</v>
      </c>
      <c r="AV167" s="15">
        <f t="shared" si="809"/>
        <v>27000</v>
      </c>
      <c r="AX167" s="15"/>
      <c r="AY167" s="15">
        <f t="shared" si="810"/>
        <v>27000</v>
      </c>
      <c r="BB167" s="15">
        <f t="shared" si="811"/>
        <v>27000</v>
      </c>
      <c r="BD167" s="15">
        <v>5000</v>
      </c>
      <c r="BE167" s="15">
        <f t="shared" si="812"/>
        <v>32000</v>
      </c>
      <c r="BG167" s="15"/>
      <c r="BH167" s="15">
        <f t="shared" si="813"/>
        <v>32000</v>
      </c>
      <c r="BJ167" s="15">
        <v>28596</v>
      </c>
      <c r="BK167" s="235">
        <f t="shared" si="814"/>
        <v>0.893625</v>
      </c>
      <c r="BM167" s="15">
        <f>BM164*0.09</f>
        <v>31500</v>
      </c>
      <c r="BN167" s="235">
        <f t="shared" si="815"/>
        <v>1.1015526647083509</v>
      </c>
      <c r="BO167" s="235">
        <f t="shared" si="847"/>
        <v>0.984375</v>
      </c>
      <c r="BQ167" s="15"/>
      <c r="BR167" s="15">
        <f t="shared" si="816"/>
        <v>31500</v>
      </c>
      <c r="BT167" s="15"/>
      <c r="BU167" s="15">
        <f t="shared" si="817"/>
        <v>31500</v>
      </c>
      <c r="BW167" s="15"/>
      <c r="BX167" s="15">
        <f t="shared" si="818"/>
        <v>31500</v>
      </c>
      <c r="BZ167" s="15"/>
      <c r="CA167" s="15">
        <f t="shared" si="819"/>
        <v>31500</v>
      </c>
      <c r="CC167" s="15"/>
      <c r="CD167" s="15">
        <f t="shared" si="820"/>
        <v>31500</v>
      </c>
      <c r="CF167" s="15"/>
      <c r="CG167" s="15">
        <f t="shared" si="821"/>
        <v>31500</v>
      </c>
      <c r="CI167" s="15"/>
      <c r="CJ167" s="15">
        <f t="shared" si="822"/>
        <v>31500</v>
      </c>
      <c r="CM167" s="15">
        <f t="shared" si="823"/>
        <v>31500</v>
      </c>
      <c r="CP167" s="15">
        <f t="shared" si="824"/>
        <v>31500</v>
      </c>
      <c r="CS167" s="15">
        <f t="shared" si="825"/>
        <v>31500</v>
      </c>
      <c r="CU167" s="227">
        <v>-1500</v>
      </c>
      <c r="CV167" s="15">
        <f t="shared" si="826"/>
        <v>30000</v>
      </c>
      <c r="CX167" s="227"/>
      <c r="CY167" s="15">
        <f t="shared" si="827"/>
        <v>30000</v>
      </c>
      <c r="DA167" s="15">
        <v>29826</v>
      </c>
      <c r="DC167" s="15">
        <f>DC164*0.1</f>
        <v>38000</v>
      </c>
      <c r="DE167" s="15"/>
      <c r="DF167" s="15">
        <f t="shared" si="828"/>
        <v>38000</v>
      </c>
      <c r="DH167" s="15"/>
      <c r="DI167" s="15">
        <f t="shared" si="829"/>
        <v>38000</v>
      </c>
      <c r="DK167" s="15"/>
      <c r="DL167" s="15">
        <f t="shared" si="830"/>
        <v>38000</v>
      </c>
      <c r="DN167" s="15"/>
      <c r="DO167" s="15">
        <f t="shared" si="831"/>
        <v>38000</v>
      </c>
      <c r="DQ167" s="227">
        <v>5000</v>
      </c>
      <c r="DR167" s="15">
        <f t="shared" si="832"/>
        <v>43000</v>
      </c>
      <c r="DT167" s="15"/>
      <c r="DU167" s="15">
        <f t="shared" si="833"/>
        <v>43000</v>
      </c>
      <c r="DW167" s="15"/>
      <c r="DX167" s="15">
        <f t="shared" si="834"/>
        <v>43000</v>
      </c>
      <c r="DZ167" s="15"/>
      <c r="EA167" s="15">
        <f t="shared" si="835"/>
        <v>43000</v>
      </c>
      <c r="EC167" s="227">
        <v>7500</v>
      </c>
      <c r="ED167" s="15">
        <f t="shared" si="836"/>
        <v>50500</v>
      </c>
      <c r="EF167" s="227">
        <f>1176-5000</f>
        <v>-3824</v>
      </c>
      <c r="EG167" s="15">
        <f t="shared" si="837"/>
        <v>46676</v>
      </c>
      <c r="EI167" s="15">
        <v>44916</v>
      </c>
      <c r="EK167" s="15">
        <f>46000-3000</f>
        <v>43000</v>
      </c>
      <c r="EM167" s="15"/>
      <c r="EN167" s="15">
        <f t="shared" si="838"/>
        <v>43000</v>
      </c>
      <c r="EP167" s="227">
        <v>10000</v>
      </c>
      <c r="EQ167" s="15">
        <f t="shared" si="839"/>
        <v>53000</v>
      </c>
      <c r="ES167" s="15"/>
      <c r="ET167" s="15">
        <f t="shared" si="840"/>
        <v>53000</v>
      </c>
      <c r="EW167" s="15">
        <f t="shared" si="841"/>
        <v>53000</v>
      </c>
      <c r="EZ167" s="15">
        <f t="shared" si="842"/>
        <v>53000</v>
      </c>
      <c r="FC167" s="15">
        <f t="shared" si="843"/>
        <v>53000</v>
      </c>
      <c r="FF167" s="15">
        <f t="shared" si="844"/>
        <v>53000</v>
      </c>
      <c r="FI167" s="15">
        <f t="shared" si="848"/>
        <v>53000</v>
      </c>
      <c r="FL167" s="15">
        <f t="shared" si="845"/>
        <v>53000</v>
      </c>
      <c r="FO167" s="15">
        <f t="shared" si="846"/>
        <v>53000</v>
      </c>
      <c r="FR167" s="15">
        <v>53000</v>
      </c>
      <c r="FT167" s="15">
        <v>41379</v>
      </c>
      <c r="FV167" s="15">
        <v>42500</v>
      </c>
      <c r="FW167" s="235">
        <f t="shared" si="802"/>
        <v>1.0270910365161072</v>
      </c>
    </row>
    <row r="168" spans="1:179" outlineLevel="1">
      <c r="A168" s="1" t="s">
        <v>71</v>
      </c>
      <c r="B168" s="1" t="s">
        <v>189</v>
      </c>
      <c r="C168" s="4" t="s">
        <v>190</v>
      </c>
      <c r="D168" s="43">
        <v>2500</v>
      </c>
      <c r="E168" s="34">
        <v>98.48</v>
      </c>
      <c r="F168" s="43">
        <v>2500</v>
      </c>
      <c r="G168" s="34">
        <v>98.48</v>
      </c>
      <c r="H168" s="46">
        <v>2462</v>
      </c>
      <c r="I168" s="15">
        <v>2500</v>
      </c>
      <c r="K168" t="s">
        <v>332</v>
      </c>
      <c r="L168" s="118">
        <v>3000</v>
      </c>
      <c r="M168" s="17">
        <f t="shared" si="795"/>
        <v>0.19999999999999996</v>
      </c>
      <c r="N168" s="17">
        <f t="shared" si="796"/>
        <v>0.19999999999999996</v>
      </c>
      <c r="Q168" s="118">
        <v>3000</v>
      </c>
      <c r="R168" s="15">
        <v>2775</v>
      </c>
      <c r="S168" s="118">
        <v>3000</v>
      </c>
      <c r="T168" s="15">
        <f t="shared" si="803"/>
        <v>0</v>
      </c>
      <c r="U168" s="16">
        <f t="shared" si="804"/>
        <v>0</v>
      </c>
      <c r="Y168" s="118">
        <v>3000</v>
      </c>
      <c r="AA168" s="118">
        <v>3000</v>
      </c>
      <c r="AB168" s="185">
        <f t="shared" si="805"/>
        <v>0</v>
      </c>
      <c r="AC168" s="187">
        <f t="shared" si="806"/>
        <v>0</v>
      </c>
      <c r="AD168" s="187"/>
      <c r="AE168" s="118">
        <v>3000</v>
      </c>
      <c r="AF168" s="182"/>
      <c r="AH168" s="15">
        <v>2774.74</v>
      </c>
      <c r="AI168" s="17">
        <f t="shared" si="807"/>
        <v>0.92491333333333325</v>
      </c>
      <c r="AK168" s="118">
        <v>3000</v>
      </c>
      <c r="AS168" s="15">
        <f t="shared" si="808"/>
        <v>3000</v>
      </c>
      <c r="AV168" s="15">
        <f t="shared" si="809"/>
        <v>3000</v>
      </c>
      <c r="AX168" s="15"/>
      <c r="AY168" s="15">
        <f t="shared" si="810"/>
        <v>3000</v>
      </c>
      <c r="BB168" s="15">
        <f t="shared" si="811"/>
        <v>3000</v>
      </c>
      <c r="BD168" s="15">
        <v>-2000</v>
      </c>
      <c r="BE168" s="15">
        <f t="shared" si="812"/>
        <v>1000</v>
      </c>
      <c r="BG168" s="15"/>
      <c r="BH168" s="15">
        <f t="shared" si="813"/>
        <v>1000</v>
      </c>
      <c r="BJ168" s="15">
        <v>604.29999999999995</v>
      </c>
      <c r="BK168" s="235">
        <f t="shared" si="814"/>
        <v>0.60429999999999995</v>
      </c>
      <c r="BM168" s="15">
        <v>1000</v>
      </c>
      <c r="BN168" s="235">
        <f t="shared" si="815"/>
        <v>1.6548072149594573</v>
      </c>
      <c r="BO168" s="235">
        <f t="shared" si="847"/>
        <v>1</v>
      </c>
      <c r="BQ168" s="15"/>
      <c r="BR168" s="15">
        <f t="shared" si="816"/>
        <v>1000</v>
      </c>
      <c r="BT168" s="15"/>
      <c r="BU168" s="15">
        <f t="shared" si="817"/>
        <v>1000</v>
      </c>
      <c r="BW168" s="15"/>
      <c r="BX168" s="15">
        <f t="shared" si="818"/>
        <v>1000</v>
      </c>
      <c r="BZ168" s="15"/>
      <c r="CA168" s="15">
        <f t="shared" si="819"/>
        <v>1000</v>
      </c>
      <c r="CC168" s="15"/>
      <c r="CD168" s="15">
        <f t="shared" si="820"/>
        <v>1000</v>
      </c>
      <c r="CF168" s="15"/>
      <c r="CG168" s="15">
        <f t="shared" si="821"/>
        <v>1000</v>
      </c>
      <c r="CI168" s="15"/>
      <c r="CJ168" s="15">
        <f t="shared" si="822"/>
        <v>1000</v>
      </c>
      <c r="CL168" s="15">
        <v>2000</v>
      </c>
      <c r="CM168" s="15">
        <f t="shared" si="823"/>
        <v>3000</v>
      </c>
      <c r="CO168" s="15">
        <v>500</v>
      </c>
      <c r="CP168" s="15">
        <f t="shared" si="824"/>
        <v>3500</v>
      </c>
      <c r="CS168" s="15">
        <f t="shared" si="825"/>
        <v>3500</v>
      </c>
      <c r="CV168" s="15">
        <f t="shared" si="826"/>
        <v>3500</v>
      </c>
      <c r="CY168" s="15">
        <f t="shared" si="827"/>
        <v>3500</v>
      </c>
      <c r="DA168" s="15">
        <v>3195</v>
      </c>
      <c r="DC168" s="15">
        <v>4000</v>
      </c>
      <c r="DE168" s="15"/>
      <c r="DF168" s="15">
        <f t="shared" si="828"/>
        <v>4000</v>
      </c>
      <c r="DH168" s="15"/>
      <c r="DI168" s="15">
        <f t="shared" si="829"/>
        <v>4000</v>
      </c>
      <c r="DK168" s="15"/>
      <c r="DL168" s="15">
        <f t="shared" si="830"/>
        <v>4000</v>
      </c>
      <c r="DN168" s="15"/>
      <c r="DO168" s="15">
        <f t="shared" si="831"/>
        <v>4000</v>
      </c>
      <c r="DQ168" s="15"/>
      <c r="DR168" s="15">
        <f t="shared" si="832"/>
        <v>4000</v>
      </c>
      <c r="DT168" s="15"/>
      <c r="DU168" s="15">
        <f t="shared" si="833"/>
        <v>4000</v>
      </c>
      <c r="DW168" s="15"/>
      <c r="DX168" s="15">
        <f t="shared" si="834"/>
        <v>4000</v>
      </c>
      <c r="DZ168" s="15"/>
      <c r="EA168" s="15">
        <f t="shared" si="835"/>
        <v>4000</v>
      </c>
      <c r="EC168" s="227">
        <v>-2000</v>
      </c>
      <c r="ED168" s="15">
        <f t="shared" si="836"/>
        <v>2000</v>
      </c>
      <c r="EF168" s="227">
        <v>-1700</v>
      </c>
      <c r="EG168" s="15">
        <f t="shared" si="837"/>
        <v>300</v>
      </c>
      <c r="EI168" s="15">
        <v>207</v>
      </c>
      <c r="EK168" s="15">
        <v>3000</v>
      </c>
      <c r="EM168" s="15"/>
      <c r="EN168" s="15">
        <f t="shared" si="838"/>
        <v>3000</v>
      </c>
      <c r="EP168" s="15"/>
      <c r="EQ168" s="15">
        <f t="shared" si="839"/>
        <v>3000</v>
      </c>
      <c r="ES168" s="15"/>
      <c r="ET168" s="15">
        <f t="shared" si="840"/>
        <v>3000</v>
      </c>
      <c r="EW168" s="15">
        <f t="shared" si="841"/>
        <v>3000</v>
      </c>
      <c r="EZ168" s="15">
        <f t="shared" si="842"/>
        <v>3000</v>
      </c>
      <c r="FC168" s="15">
        <f t="shared" si="843"/>
        <v>3000</v>
      </c>
      <c r="FF168" s="15">
        <f t="shared" si="844"/>
        <v>3000</v>
      </c>
      <c r="FI168" s="15">
        <f t="shared" si="848"/>
        <v>3000</v>
      </c>
      <c r="FL168" s="15">
        <f t="shared" si="845"/>
        <v>3000</v>
      </c>
      <c r="FO168" s="15">
        <f t="shared" si="846"/>
        <v>3000</v>
      </c>
      <c r="FR168" s="15">
        <v>3000</v>
      </c>
      <c r="FT168" s="15">
        <v>2942.17</v>
      </c>
      <c r="FV168" s="15">
        <v>3000</v>
      </c>
      <c r="FW168" s="235">
        <f t="shared" si="802"/>
        <v>1.0196555603517132</v>
      </c>
    </row>
    <row r="169" spans="1:179" outlineLevel="1">
      <c r="A169" s="1" t="s">
        <v>71</v>
      </c>
      <c r="B169" s="1" t="s">
        <v>225</v>
      </c>
      <c r="C169" s="4" t="s">
        <v>226</v>
      </c>
      <c r="D169" s="43"/>
      <c r="E169" s="34"/>
      <c r="F169" s="43"/>
      <c r="G169" s="34"/>
      <c r="H169" s="46"/>
      <c r="M169" s="17"/>
      <c r="N169" s="17"/>
      <c r="Q169" s="118">
        <v>299</v>
      </c>
      <c r="R169" s="15">
        <v>299</v>
      </c>
      <c r="S169" s="118">
        <v>300</v>
      </c>
      <c r="T169" s="15">
        <f t="shared" si="803"/>
        <v>1</v>
      </c>
      <c r="U169" s="16">
        <f t="shared" si="804"/>
        <v>3.3444816053511683E-3</v>
      </c>
      <c r="Y169" s="118">
        <v>300</v>
      </c>
      <c r="AA169" s="118">
        <v>300</v>
      </c>
      <c r="AB169" s="185">
        <f t="shared" si="805"/>
        <v>0</v>
      </c>
      <c r="AC169" s="187">
        <f t="shared" si="806"/>
        <v>0</v>
      </c>
      <c r="AD169" s="187"/>
      <c r="AE169" s="118">
        <v>300</v>
      </c>
      <c r="AF169" s="182"/>
      <c r="AH169" s="15">
        <v>299</v>
      </c>
      <c r="AI169" s="17">
        <f t="shared" si="807"/>
        <v>0.9966666666666667</v>
      </c>
      <c r="AK169" s="118">
        <v>300</v>
      </c>
      <c r="AS169" s="15">
        <f t="shared" si="808"/>
        <v>300</v>
      </c>
      <c r="AV169" s="15">
        <f t="shared" si="809"/>
        <v>300</v>
      </c>
      <c r="AX169" s="15"/>
      <c r="AY169" s="15">
        <f t="shared" si="810"/>
        <v>300</v>
      </c>
      <c r="BB169" s="15">
        <f t="shared" si="811"/>
        <v>300</v>
      </c>
      <c r="BD169" s="15"/>
      <c r="BE169" s="15">
        <f t="shared" si="812"/>
        <v>300</v>
      </c>
      <c r="BG169" s="15"/>
      <c r="BH169" s="15">
        <f t="shared" si="813"/>
        <v>300</v>
      </c>
      <c r="BJ169" s="15">
        <v>0</v>
      </c>
      <c r="BK169" s="235">
        <f t="shared" si="814"/>
        <v>0</v>
      </c>
      <c r="BM169" s="15">
        <v>300</v>
      </c>
      <c r="BN169" s="235" t="e">
        <f t="shared" si="815"/>
        <v>#DIV/0!</v>
      </c>
      <c r="BO169" s="235">
        <f t="shared" si="847"/>
        <v>1</v>
      </c>
      <c r="BQ169" s="15"/>
      <c r="BR169" s="15">
        <f t="shared" si="816"/>
        <v>300</v>
      </c>
      <c r="BT169" s="15"/>
      <c r="BU169" s="15">
        <f t="shared" si="817"/>
        <v>300</v>
      </c>
      <c r="BW169" s="15"/>
      <c r="BX169" s="15">
        <f t="shared" si="818"/>
        <v>300</v>
      </c>
      <c r="BZ169" s="15"/>
      <c r="CA169" s="15">
        <f t="shared" si="819"/>
        <v>300</v>
      </c>
      <c r="CC169" s="15"/>
      <c r="CD169" s="15">
        <f t="shared" si="820"/>
        <v>300</v>
      </c>
      <c r="CF169" s="15"/>
      <c r="CG169" s="15">
        <f t="shared" si="821"/>
        <v>300</v>
      </c>
      <c r="CI169" s="15"/>
      <c r="CJ169" s="15">
        <f t="shared" si="822"/>
        <v>300</v>
      </c>
      <c r="CM169" s="15">
        <f t="shared" si="823"/>
        <v>300</v>
      </c>
      <c r="CP169" s="15">
        <f t="shared" si="824"/>
        <v>300</v>
      </c>
      <c r="CS169" s="15">
        <f t="shared" si="825"/>
        <v>300</v>
      </c>
      <c r="CU169" s="227">
        <v>-300</v>
      </c>
      <c r="CV169" s="15">
        <f t="shared" si="826"/>
        <v>0</v>
      </c>
      <c r="CX169" s="227"/>
      <c r="CY169" s="15">
        <f t="shared" si="827"/>
        <v>0</v>
      </c>
      <c r="DA169" s="15">
        <v>0</v>
      </c>
      <c r="DC169" s="15">
        <v>300</v>
      </c>
      <c r="DE169" s="15"/>
      <c r="DF169" s="15">
        <f t="shared" si="828"/>
        <v>300</v>
      </c>
      <c r="DH169" s="15"/>
      <c r="DI169" s="15">
        <f t="shared" si="829"/>
        <v>300</v>
      </c>
      <c r="DK169" s="15"/>
      <c r="DL169" s="15">
        <f t="shared" si="830"/>
        <v>300</v>
      </c>
      <c r="DN169" s="15"/>
      <c r="DO169" s="15">
        <f t="shared" si="831"/>
        <v>300</v>
      </c>
      <c r="DQ169" s="15"/>
      <c r="DR169" s="15">
        <f t="shared" si="832"/>
        <v>300</v>
      </c>
      <c r="DT169" s="15"/>
      <c r="DU169" s="15">
        <f t="shared" si="833"/>
        <v>300</v>
      </c>
      <c r="DW169" s="15"/>
      <c r="DX169" s="15">
        <f t="shared" si="834"/>
        <v>300</v>
      </c>
      <c r="DZ169" s="15"/>
      <c r="EA169" s="15">
        <f t="shared" si="835"/>
        <v>300</v>
      </c>
      <c r="EC169" s="227">
        <v>-300</v>
      </c>
      <c r="ED169" s="15">
        <f t="shared" si="836"/>
        <v>0</v>
      </c>
      <c r="EF169" s="15"/>
      <c r="EG169" s="15">
        <f t="shared" si="837"/>
        <v>0</v>
      </c>
      <c r="EI169" s="15">
        <v>0</v>
      </c>
      <c r="EK169" s="15">
        <v>500</v>
      </c>
      <c r="EM169" s="15"/>
      <c r="EN169" s="15">
        <f t="shared" si="838"/>
        <v>500</v>
      </c>
      <c r="EP169" s="15"/>
      <c r="EQ169" s="15">
        <f t="shared" si="839"/>
        <v>500</v>
      </c>
      <c r="ES169" s="15"/>
      <c r="ET169" s="15">
        <f t="shared" si="840"/>
        <v>500</v>
      </c>
      <c r="EW169" s="15">
        <f t="shared" si="841"/>
        <v>500</v>
      </c>
      <c r="EZ169" s="15">
        <f t="shared" si="842"/>
        <v>500</v>
      </c>
      <c r="FC169" s="15">
        <f t="shared" si="843"/>
        <v>500</v>
      </c>
      <c r="FF169" s="15">
        <f t="shared" si="844"/>
        <v>500</v>
      </c>
      <c r="FI169" s="15">
        <f t="shared" si="848"/>
        <v>500</v>
      </c>
      <c r="FL169" s="15">
        <f t="shared" si="845"/>
        <v>500</v>
      </c>
      <c r="FO169" s="15">
        <f t="shared" si="846"/>
        <v>500</v>
      </c>
      <c r="FR169" s="15">
        <v>500</v>
      </c>
      <c r="FT169" s="15">
        <v>0</v>
      </c>
      <c r="FV169" s="15">
        <v>500</v>
      </c>
      <c r="FW169" s="235" t="e">
        <f t="shared" si="802"/>
        <v>#DIV/0!</v>
      </c>
    </row>
    <row r="170" spans="1:179" outlineLevel="1">
      <c r="A170" s="1" t="s">
        <v>71</v>
      </c>
      <c r="B170" s="1" t="s">
        <v>191</v>
      </c>
      <c r="C170" s="4" t="s">
        <v>192</v>
      </c>
      <c r="D170" s="43">
        <v>1000</v>
      </c>
      <c r="E170" s="34">
        <v>308.5</v>
      </c>
      <c r="F170" s="43">
        <v>3085</v>
      </c>
      <c r="G170" s="34">
        <v>100</v>
      </c>
      <c r="H170" s="46">
        <v>3085</v>
      </c>
      <c r="I170" s="36">
        <v>3085</v>
      </c>
      <c r="J170" s="14"/>
      <c r="K170" t="s">
        <v>332</v>
      </c>
      <c r="L170" s="118">
        <v>3000</v>
      </c>
      <c r="M170" s="17">
        <f t="shared" si="795"/>
        <v>-2.7552674230145846E-2</v>
      </c>
      <c r="N170" s="17">
        <f t="shared" si="796"/>
        <v>-2.7552674230145846E-2</v>
      </c>
      <c r="Q170" s="118">
        <v>3000</v>
      </c>
      <c r="R170" s="15">
        <v>1466</v>
      </c>
      <c r="S170" s="118">
        <v>3000</v>
      </c>
      <c r="T170" s="15">
        <f t="shared" si="803"/>
        <v>0</v>
      </c>
      <c r="U170" s="16">
        <f t="shared" si="804"/>
        <v>0</v>
      </c>
      <c r="Y170" s="118">
        <v>3000</v>
      </c>
      <c r="AA170" s="118">
        <v>1500</v>
      </c>
      <c r="AB170" s="185">
        <f t="shared" si="805"/>
        <v>-1500</v>
      </c>
      <c r="AC170" s="187">
        <f t="shared" si="806"/>
        <v>-1500</v>
      </c>
      <c r="AD170" s="187"/>
      <c r="AE170" s="118">
        <v>1500</v>
      </c>
      <c r="AF170" s="182"/>
      <c r="AH170" s="15">
        <v>1466</v>
      </c>
      <c r="AI170" s="17">
        <f t="shared" si="807"/>
        <v>0.97733333333333339</v>
      </c>
      <c r="AK170" s="118">
        <v>3000</v>
      </c>
      <c r="AS170" s="15">
        <f t="shared" si="808"/>
        <v>3000</v>
      </c>
      <c r="AV170" s="15">
        <f t="shared" si="809"/>
        <v>3000</v>
      </c>
      <c r="AX170" s="15"/>
      <c r="AY170" s="15">
        <f t="shared" si="810"/>
        <v>3000</v>
      </c>
      <c r="BB170" s="15">
        <f t="shared" si="811"/>
        <v>3000</v>
      </c>
      <c r="BD170" s="15">
        <v>600</v>
      </c>
      <c r="BE170" s="15">
        <f t="shared" si="812"/>
        <v>3600</v>
      </c>
      <c r="BG170" s="15">
        <v>-1000</v>
      </c>
      <c r="BH170" s="15">
        <f t="shared" si="813"/>
        <v>2600</v>
      </c>
      <c r="BJ170" s="15">
        <v>2512</v>
      </c>
      <c r="BK170" s="235">
        <f t="shared" si="814"/>
        <v>0.96615384615384614</v>
      </c>
      <c r="BM170" s="15">
        <v>3000</v>
      </c>
      <c r="BN170" s="235">
        <f t="shared" si="815"/>
        <v>1.1942675159235669</v>
      </c>
      <c r="BO170" s="235">
        <f t="shared" si="847"/>
        <v>1.1538461538461537</v>
      </c>
      <c r="BQ170" s="15"/>
      <c r="BR170" s="15">
        <f t="shared" si="816"/>
        <v>3000</v>
      </c>
      <c r="BT170" s="15"/>
      <c r="BU170" s="15">
        <f t="shared" si="817"/>
        <v>3000</v>
      </c>
      <c r="BW170" s="15"/>
      <c r="BX170" s="15">
        <f t="shared" si="818"/>
        <v>3000</v>
      </c>
      <c r="BZ170" s="15"/>
      <c r="CA170" s="15">
        <f t="shared" si="819"/>
        <v>3000</v>
      </c>
      <c r="CC170" s="15"/>
      <c r="CD170" s="15">
        <f t="shared" si="820"/>
        <v>3000</v>
      </c>
      <c r="CF170" s="15"/>
      <c r="CG170" s="15">
        <f t="shared" si="821"/>
        <v>3000</v>
      </c>
      <c r="CI170" s="15"/>
      <c r="CJ170" s="15">
        <f t="shared" si="822"/>
        <v>3000</v>
      </c>
      <c r="CM170" s="15">
        <f t="shared" si="823"/>
        <v>3000</v>
      </c>
      <c r="CP170" s="15">
        <f t="shared" si="824"/>
        <v>3000</v>
      </c>
      <c r="CS170" s="15">
        <f t="shared" si="825"/>
        <v>3000</v>
      </c>
      <c r="CU170" s="227">
        <v>-3000</v>
      </c>
      <c r="CV170" s="15">
        <f t="shared" si="826"/>
        <v>0</v>
      </c>
      <c r="CX170" s="227"/>
      <c r="CY170" s="15">
        <f t="shared" si="827"/>
        <v>0</v>
      </c>
      <c r="DA170" s="15">
        <v>0</v>
      </c>
      <c r="DC170" s="15">
        <v>3000</v>
      </c>
      <c r="DE170" s="15"/>
      <c r="DF170" s="15">
        <f t="shared" si="828"/>
        <v>3000</v>
      </c>
      <c r="DH170" s="15"/>
      <c r="DI170" s="15">
        <f t="shared" si="829"/>
        <v>3000</v>
      </c>
      <c r="DK170" s="15"/>
      <c r="DL170" s="15">
        <f t="shared" si="830"/>
        <v>3000</v>
      </c>
      <c r="DN170" s="15"/>
      <c r="DO170" s="15">
        <f t="shared" si="831"/>
        <v>3000</v>
      </c>
      <c r="DQ170" s="15"/>
      <c r="DR170" s="15">
        <f t="shared" si="832"/>
        <v>3000</v>
      </c>
      <c r="DT170" s="15"/>
      <c r="DU170" s="15">
        <f t="shared" si="833"/>
        <v>3000</v>
      </c>
      <c r="DW170" s="15"/>
      <c r="DX170" s="15">
        <f t="shared" si="834"/>
        <v>3000</v>
      </c>
      <c r="DZ170" s="15"/>
      <c r="EA170" s="15">
        <f t="shared" si="835"/>
        <v>3000</v>
      </c>
      <c r="EC170" s="227">
        <v>-3000</v>
      </c>
      <c r="ED170" s="15">
        <f t="shared" si="836"/>
        <v>0</v>
      </c>
      <c r="EF170" s="15"/>
      <c r="EG170" s="15">
        <f t="shared" si="837"/>
        <v>0</v>
      </c>
      <c r="EI170" s="15">
        <v>0</v>
      </c>
      <c r="EK170" s="15">
        <v>4000</v>
      </c>
      <c r="EM170" s="15"/>
      <c r="EN170" s="15">
        <f t="shared" si="838"/>
        <v>4000</v>
      </c>
      <c r="EP170" s="15"/>
      <c r="EQ170" s="15">
        <f t="shared" si="839"/>
        <v>4000</v>
      </c>
      <c r="ES170" s="15"/>
      <c r="ET170" s="15">
        <f t="shared" si="840"/>
        <v>4000</v>
      </c>
      <c r="EW170" s="15">
        <f t="shared" si="841"/>
        <v>4000</v>
      </c>
      <c r="EZ170" s="15">
        <f t="shared" si="842"/>
        <v>4000</v>
      </c>
      <c r="FC170" s="15">
        <f t="shared" si="843"/>
        <v>4000</v>
      </c>
      <c r="FF170" s="15">
        <f t="shared" si="844"/>
        <v>4000</v>
      </c>
      <c r="FI170" s="15">
        <f t="shared" si="848"/>
        <v>4000</v>
      </c>
      <c r="FL170" s="15">
        <f t="shared" si="845"/>
        <v>4000</v>
      </c>
      <c r="FO170" s="15">
        <f t="shared" si="846"/>
        <v>4000</v>
      </c>
      <c r="FQ170" s="227">
        <v>2060</v>
      </c>
      <c r="FR170" s="15">
        <v>6060</v>
      </c>
      <c r="FT170" s="15">
        <v>6054.99</v>
      </c>
      <c r="FV170" s="15">
        <v>4000</v>
      </c>
      <c r="FW170" s="235">
        <f t="shared" si="802"/>
        <v>0.66061215625459335</v>
      </c>
    </row>
    <row r="171" spans="1:179" outlineLevel="1">
      <c r="A171" s="1" t="s">
        <v>71</v>
      </c>
      <c r="B171" s="1" t="s">
        <v>113</v>
      </c>
      <c r="C171" s="4" t="s">
        <v>114</v>
      </c>
      <c r="D171" s="43">
        <v>65000</v>
      </c>
      <c r="E171" s="34">
        <v>26.14</v>
      </c>
      <c r="F171" s="43">
        <v>65000</v>
      </c>
      <c r="G171" s="34">
        <v>26.14</v>
      </c>
      <c r="H171" s="46">
        <v>16990</v>
      </c>
      <c r="I171" s="36">
        <v>16990</v>
      </c>
      <c r="J171" s="14"/>
      <c r="L171" s="118">
        <v>30000</v>
      </c>
      <c r="M171" s="17">
        <f t="shared" si="795"/>
        <v>-0.53846153846153844</v>
      </c>
      <c r="N171" s="17">
        <f t="shared" si="796"/>
        <v>0.76574455562095345</v>
      </c>
      <c r="Q171" s="118">
        <v>75000</v>
      </c>
      <c r="R171" s="15">
        <v>0</v>
      </c>
      <c r="S171" s="158">
        <v>38000</v>
      </c>
      <c r="T171" s="15">
        <f t="shared" si="803"/>
        <v>-37000</v>
      </c>
      <c r="U171" s="16">
        <f t="shared" si="804"/>
        <v>-0.49333333333333329</v>
      </c>
      <c r="V171" s="140">
        <v>40000</v>
      </c>
      <c r="W171">
        <v>10000</v>
      </c>
      <c r="Y171" s="118">
        <v>38000</v>
      </c>
      <c r="AA171" s="118">
        <v>38000</v>
      </c>
      <c r="AB171" s="185">
        <f t="shared" si="805"/>
        <v>0</v>
      </c>
      <c r="AC171" s="187">
        <f t="shared" si="806"/>
        <v>0</v>
      </c>
      <c r="AD171" s="187"/>
      <c r="AE171" s="118">
        <v>38000</v>
      </c>
      <c r="AF171" s="182"/>
      <c r="AH171" s="15">
        <v>37497.9</v>
      </c>
      <c r="AI171" s="17">
        <f t="shared" si="807"/>
        <v>0.98678684210526324</v>
      </c>
      <c r="AK171" s="118">
        <v>20000</v>
      </c>
      <c r="AS171" s="15">
        <f t="shared" si="808"/>
        <v>20000</v>
      </c>
      <c r="AV171" s="15">
        <f t="shared" si="809"/>
        <v>20000</v>
      </c>
      <c r="AX171" s="15"/>
      <c r="AY171" s="15">
        <f t="shared" si="810"/>
        <v>20000</v>
      </c>
      <c r="BA171" s="227">
        <f>-1000-2000</f>
        <v>-3000</v>
      </c>
      <c r="BB171" s="15">
        <f t="shared" si="811"/>
        <v>17000</v>
      </c>
      <c r="BD171" s="15"/>
      <c r="BE171" s="15">
        <f t="shared" si="812"/>
        <v>17000</v>
      </c>
      <c r="BG171" s="15"/>
      <c r="BH171" s="15">
        <f t="shared" si="813"/>
        <v>17000</v>
      </c>
      <c r="BJ171" s="15">
        <v>12616.67</v>
      </c>
      <c r="BK171" s="235">
        <f t="shared" si="814"/>
        <v>0.74215705882352945</v>
      </c>
      <c r="BM171" s="15">
        <v>30000</v>
      </c>
      <c r="BN171" s="235">
        <f t="shared" si="815"/>
        <v>2.3778065052030368</v>
      </c>
      <c r="BO171" s="235">
        <f t="shared" si="847"/>
        <v>1.7647058823529411</v>
      </c>
      <c r="BQ171" s="15"/>
      <c r="BR171" s="15">
        <f t="shared" si="816"/>
        <v>30000</v>
      </c>
      <c r="BT171" s="15"/>
      <c r="BU171" s="15">
        <f t="shared" si="817"/>
        <v>30000</v>
      </c>
      <c r="BW171" s="15"/>
      <c r="BX171" s="15">
        <f t="shared" si="818"/>
        <v>30000</v>
      </c>
      <c r="BZ171" s="15"/>
      <c r="CA171" s="15">
        <f t="shared" si="819"/>
        <v>30000</v>
      </c>
      <c r="CC171" s="15"/>
      <c r="CD171" s="15">
        <f t="shared" si="820"/>
        <v>30000</v>
      </c>
      <c r="CF171" s="15">
        <v>30000</v>
      </c>
      <c r="CG171" s="15">
        <f t="shared" si="821"/>
        <v>60000</v>
      </c>
      <c r="CI171" s="15"/>
      <c r="CJ171" s="15">
        <f t="shared" si="822"/>
        <v>60000</v>
      </c>
      <c r="CL171" s="15">
        <v>50000</v>
      </c>
      <c r="CM171" s="15">
        <f t="shared" si="823"/>
        <v>110000</v>
      </c>
      <c r="CO171" s="15">
        <v>10000</v>
      </c>
      <c r="CP171" s="15">
        <f t="shared" si="824"/>
        <v>120000</v>
      </c>
      <c r="CS171" s="15">
        <f t="shared" si="825"/>
        <v>120000</v>
      </c>
      <c r="CU171" s="227">
        <v>-2000</v>
      </c>
      <c r="CV171" s="15">
        <f t="shared" si="826"/>
        <v>118000</v>
      </c>
      <c r="CX171" s="227"/>
      <c r="CY171" s="15">
        <f t="shared" si="827"/>
        <v>118000</v>
      </c>
      <c r="DA171" s="15">
        <v>116797</v>
      </c>
      <c r="DC171" s="15">
        <v>50000</v>
      </c>
      <c r="DE171" s="15"/>
      <c r="DF171" s="15">
        <f t="shared" si="828"/>
        <v>50000</v>
      </c>
      <c r="DH171" s="15"/>
      <c r="DI171" s="15">
        <f t="shared" si="829"/>
        <v>50000</v>
      </c>
      <c r="DK171" s="15"/>
      <c r="DL171" s="15">
        <f t="shared" si="830"/>
        <v>50000</v>
      </c>
      <c r="DN171" s="15"/>
      <c r="DO171" s="15">
        <f t="shared" si="831"/>
        <v>50000</v>
      </c>
      <c r="DQ171" s="15"/>
      <c r="DR171" s="15">
        <f t="shared" si="832"/>
        <v>50000</v>
      </c>
      <c r="DT171" s="15"/>
      <c r="DU171" s="15">
        <f t="shared" si="833"/>
        <v>50000</v>
      </c>
      <c r="DW171" s="15"/>
      <c r="DX171" s="15">
        <f t="shared" si="834"/>
        <v>50000</v>
      </c>
      <c r="DZ171" s="15"/>
      <c r="EA171" s="15">
        <f t="shared" si="835"/>
        <v>50000</v>
      </c>
      <c r="EC171" s="15"/>
      <c r="ED171" s="15">
        <f t="shared" si="836"/>
        <v>50000</v>
      </c>
      <c r="EF171" s="227">
        <v>-10000</v>
      </c>
      <c r="EG171" s="15">
        <f t="shared" si="837"/>
        <v>40000</v>
      </c>
      <c r="EI171" s="15">
        <v>36048</v>
      </c>
      <c r="EK171" s="15">
        <v>20000</v>
      </c>
      <c r="EM171" s="15"/>
      <c r="EN171" s="15">
        <f t="shared" si="838"/>
        <v>20000</v>
      </c>
      <c r="EP171" s="15"/>
      <c r="EQ171" s="15">
        <f t="shared" si="839"/>
        <v>20000</v>
      </c>
      <c r="ES171" s="15"/>
      <c r="ET171" s="15">
        <f t="shared" si="840"/>
        <v>20000</v>
      </c>
      <c r="EW171" s="15">
        <f t="shared" si="841"/>
        <v>20000</v>
      </c>
      <c r="EZ171" s="15">
        <f t="shared" si="842"/>
        <v>20000</v>
      </c>
      <c r="FC171" s="15">
        <f t="shared" si="843"/>
        <v>20000</v>
      </c>
      <c r="FF171" s="15">
        <f t="shared" si="844"/>
        <v>20000</v>
      </c>
      <c r="FI171" s="15">
        <f t="shared" si="848"/>
        <v>20000</v>
      </c>
      <c r="FK171" s="227">
        <v>-10000</v>
      </c>
      <c r="FL171" s="15">
        <f t="shared" si="845"/>
        <v>10000</v>
      </c>
      <c r="FO171" s="15">
        <f t="shared" si="846"/>
        <v>10000</v>
      </c>
      <c r="FQ171" s="227">
        <v>-5000</v>
      </c>
      <c r="FR171" s="15">
        <v>5000</v>
      </c>
      <c r="FT171" s="15">
        <v>4777.08</v>
      </c>
      <c r="FV171" s="15">
        <v>5000</v>
      </c>
      <c r="FW171" s="235">
        <f t="shared" si="802"/>
        <v>1.0466644896045283</v>
      </c>
    </row>
    <row r="172" spans="1:179" outlineLevel="1">
      <c r="A172" s="1" t="s">
        <v>71</v>
      </c>
      <c r="B172" s="1" t="s">
        <v>146</v>
      </c>
      <c r="C172" s="4" t="s">
        <v>147</v>
      </c>
      <c r="D172" s="43">
        <v>90000</v>
      </c>
      <c r="E172" s="34">
        <v>82.86</v>
      </c>
      <c r="F172" s="43">
        <v>90000</v>
      </c>
      <c r="G172" s="34">
        <v>82.86</v>
      </c>
      <c r="H172" s="46">
        <v>74576.820000000007</v>
      </c>
      <c r="I172" s="36">
        <v>75000</v>
      </c>
      <c r="J172" s="14"/>
      <c r="L172" s="118">
        <v>195000</v>
      </c>
      <c r="M172" s="17">
        <f t="shared" si="795"/>
        <v>1.1666666666666665</v>
      </c>
      <c r="N172" s="17">
        <f t="shared" si="796"/>
        <v>1.6</v>
      </c>
      <c r="Q172" s="118">
        <v>185000</v>
      </c>
      <c r="R172" s="15">
        <v>13271</v>
      </c>
      <c r="S172" s="158">
        <v>46500</v>
      </c>
      <c r="T172" s="15">
        <f t="shared" si="803"/>
        <v>-138500</v>
      </c>
      <c r="U172" s="16">
        <f t="shared" si="804"/>
        <v>-0.74864864864864866</v>
      </c>
      <c r="V172" s="140">
        <v>185000</v>
      </c>
      <c r="W172">
        <v>-10000</v>
      </c>
      <c r="Y172" s="118">
        <v>46500</v>
      </c>
      <c r="AA172" s="118">
        <v>25000</v>
      </c>
      <c r="AB172" s="185">
        <f t="shared" si="805"/>
        <v>-21500</v>
      </c>
      <c r="AC172" s="187">
        <f t="shared" si="806"/>
        <v>-21500</v>
      </c>
      <c r="AD172" s="187"/>
      <c r="AE172" s="118">
        <v>25000</v>
      </c>
      <c r="AF172" s="182"/>
      <c r="AH172" s="15">
        <v>23484.240000000002</v>
      </c>
      <c r="AI172" s="17">
        <f t="shared" si="807"/>
        <v>0.93936960000000003</v>
      </c>
      <c r="AK172" s="118">
        <v>40000</v>
      </c>
      <c r="AS172" s="15">
        <f t="shared" si="808"/>
        <v>40000</v>
      </c>
      <c r="AV172" s="15">
        <f t="shared" si="809"/>
        <v>40000</v>
      </c>
      <c r="AX172" s="15"/>
      <c r="AY172" s="15">
        <f t="shared" si="810"/>
        <v>40000</v>
      </c>
      <c r="BB172" s="15">
        <f t="shared" si="811"/>
        <v>40000</v>
      </c>
      <c r="BD172" s="15">
        <v>40000</v>
      </c>
      <c r="BE172" s="15">
        <f t="shared" si="812"/>
        <v>80000</v>
      </c>
      <c r="BG172" s="15"/>
      <c r="BH172" s="15">
        <f t="shared" si="813"/>
        <v>80000</v>
      </c>
      <c r="BJ172" s="15">
        <v>67640.02</v>
      </c>
      <c r="BK172" s="235">
        <f t="shared" si="814"/>
        <v>0.84550025000000006</v>
      </c>
      <c r="BM172" s="15">
        <v>52500</v>
      </c>
      <c r="BN172" s="235">
        <f t="shared" si="815"/>
        <v>0.77616771846016597</v>
      </c>
      <c r="BO172" s="235">
        <f t="shared" si="847"/>
        <v>0.65625</v>
      </c>
      <c r="BQ172" s="15"/>
      <c r="BR172" s="15">
        <f t="shared" si="816"/>
        <v>52500</v>
      </c>
      <c r="BT172" s="15"/>
      <c r="BU172" s="15">
        <f t="shared" si="817"/>
        <v>52500</v>
      </c>
      <c r="BW172" s="15"/>
      <c r="BX172" s="15">
        <f t="shared" si="818"/>
        <v>52500</v>
      </c>
      <c r="BZ172" s="15"/>
      <c r="CA172" s="15">
        <f t="shared" si="819"/>
        <v>52500</v>
      </c>
      <c r="CC172" s="15"/>
      <c r="CD172" s="15">
        <f t="shared" si="820"/>
        <v>52500</v>
      </c>
      <c r="CF172" s="15"/>
      <c r="CG172" s="15">
        <f t="shared" si="821"/>
        <v>52500</v>
      </c>
      <c r="CI172" s="15"/>
      <c r="CJ172" s="15">
        <f t="shared" si="822"/>
        <v>52500</v>
      </c>
      <c r="CL172" s="15">
        <v>30000</v>
      </c>
      <c r="CM172" s="15">
        <f t="shared" si="823"/>
        <v>82500</v>
      </c>
      <c r="CO172" s="15">
        <v>5000</v>
      </c>
      <c r="CP172" s="15">
        <f t="shared" si="824"/>
        <v>87500</v>
      </c>
      <c r="CS172" s="15">
        <f t="shared" si="825"/>
        <v>87500</v>
      </c>
      <c r="CU172" s="227">
        <v>2000</v>
      </c>
      <c r="CV172" s="15">
        <f t="shared" si="826"/>
        <v>89500</v>
      </c>
      <c r="CX172" s="227"/>
      <c r="CY172" s="15">
        <f t="shared" si="827"/>
        <v>89500</v>
      </c>
      <c r="DA172" s="15">
        <v>89349.8</v>
      </c>
      <c r="DC172" s="15">
        <v>90000</v>
      </c>
      <c r="DE172" s="15"/>
      <c r="DF172" s="15">
        <f t="shared" si="828"/>
        <v>90000</v>
      </c>
      <c r="DH172" s="15"/>
      <c r="DI172" s="15">
        <f t="shared" si="829"/>
        <v>90000</v>
      </c>
      <c r="DK172" s="15"/>
      <c r="DL172" s="15">
        <f t="shared" si="830"/>
        <v>90000</v>
      </c>
      <c r="DN172" s="15"/>
      <c r="DO172" s="15">
        <f t="shared" si="831"/>
        <v>90000</v>
      </c>
      <c r="DQ172" s="15"/>
      <c r="DR172" s="15">
        <f t="shared" si="832"/>
        <v>90000</v>
      </c>
      <c r="DT172" s="15"/>
      <c r="DU172" s="15">
        <f t="shared" si="833"/>
        <v>90000</v>
      </c>
      <c r="DW172" s="15"/>
      <c r="DX172" s="15">
        <f t="shared" si="834"/>
        <v>90000</v>
      </c>
      <c r="DZ172" s="15"/>
      <c r="EA172" s="15">
        <f t="shared" si="835"/>
        <v>90000</v>
      </c>
      <c r="EC172" s="15"/>
      <c r="ED172" s="15">
        <f t="shared" si="836"/>
        <v>90000</v>
      </c>
      <c r="EF172" s="227">
        <v>20000</v>
      </c>
      <c r="EG172" s="15">
        <f t="shared" si="837"/>
        <v>110000</v>
      </c>
      <c r="EI172" s="15">
        <v>109354.52</v>
      </c>
      <c r="EK172" s="15">
        <v>50000</v>
      </c>
      <c r="EM172" s="15"/>
      <c r="EN172" s="15">
        <f t="shared" si="838"/>
        <v>50000</v>
      </c>
      <c r="EP172" s="15"/>
      <c r="EQ172" s="15">
        <f t="shared" si="839"/>
        <v>50000</v>
      </c>
      <c r="ES172" s="15"/>
      <c r="ET172" s="15">
        <f t="shared" si="840"/>
        <v>50000</v>
      </c>
      <c r="EW172" s="15">
        <f t="shared" si="841"/>
        <v>50000</v>
      </c>
      <c r="EZ172" s="15">
        <f t="shared" si="842"/>
        <v>50000</v>
      </c>
      <c r="FC172" s="15">
        <f t="shared" si="843"/>
        <v>50000</v>
      </c>
      <c r="FF172" s="15">
        <f t="shared" si="844"/>
        <v>50000</v>
      </c>
      <c r="FI172" s="15">
        <f t="shared" si="848"/>
        <v>50000</v>
      </c>
      <c r="FL172" s="15">
        <f t="shared" si="845"/>
        <v>50000</v>
      </c>
      <c r="FO172" s="15">
        <f t="shared" si="846"/>
        <v>50000</v>
      </c>
      <c r="FR172" s="15">
        <v>50000</v>
      </c>
      <c r="FT172" s="15">
        <v>40739</v>
      </c>
      <c r="FV172" s="15">
        <v>40000</v>
      </c>
      <c r="FW172" s="235">
        <f t="shared" si="802"/>
        <v>0.98186013402390826</v>
      </c>
    </row>
    <row r="173" spans="1:179" outlineLevel="1">
      <c r="A173" s="1" t="s">
        <v>71</v>
      </c>
      <c r="B173" s="1" t="s">
        <v>557</v>
      </c>
      <c r="C173" s="4" t="s">
        <v>558</v>
      </c>
      <c r="D173" s="43"/>
      <c r="E173" s="34"/>
      <c r="F173" s="43"/>
      <c r="G173" s="34"/>
      <c r="H173" s="46"/>
      <c r="I173" s="36"/>
      <c r="J173" s="14"/>
      <c r="M173" s="17"/>
      <c r="N173" s="17"/>
      <c r="S173" s="158"/>
      <c r="U173" s="16"/>
      <c r="Y173" s="118"/>
      <c r="AB173" s="185"/>
      <c r="AC173" s="187"/>
      <c r="AD173" s="187"/>
      <c r="AF173" s="182"/>
      <c r="AH173" s="15"/>
      <c r="AI173" s="17"/>
      <c r="AS173" s="15"/>
      <c r="AV173" s="15"/>
      <c r="AX173" s="15"/>
      <c r="AY173" s="15"/>
      <c r="BB173" s="15"/>
      <c r="BD173" s="15"/>
      <c r="BE173" s="15"/>
      <c r="BG173" s="15"/>
      <c r="BH173" s="15"/>
      <c r="BK173" s="235"/>
      <c r="BM173" s="15"/>
      <c r="BN173" s="235"/>
      <c r="BO173" s="235"/>
      <c r="BQ173" s="15"/>
      <c r="BR173" s="15"/>
      <c r="BT173" s="15"/>
      <c r="BU173" s="15"/>
      <c r="BW173" s="15"/>
      <c r="BX173" s="15"/>
      <c r="BZ173" s="15"/>
      <c r="CA173" s="15"/>
      <c r="CC173" s="15"/>
      <c r="CD173" s="15"/>
      <c r="CF173" s="15">
        <v>10000</v>
      </c>
      <c r="CG173" s="15">
        <f t="shared" si="821"/>
        <v>10000</v>
      </c>
      <c r="CI173" s="15"/>
      <c r="CJ173" s="15">
        <f t="shared" si="822"/>
        <v>10000</v>
      </c>
      <c r="CL173" s="15">
        <v>20000</v>
      </c>
      <c r="CM173" s="15">
        <f t="shared" si="823"/>
        <v>30000</v>
      </c>
      <c r="CP173" s="15">
        <f t="shared" si="824"/>
        <v>30000</v>
      </c>
      <c r="CS173" s="15">
        <f t="shared" si="825"/>
        <v>30000</v>
      </c>
      <c r="CV173" s="15">
        <f t="shared" si="826"/>
        <v>30000</v>
      </c>
      <c r="CY173" s="15">
        <f t="shared" si="827"/>
        <v>30000</v>
      </c>
      <c r="DA173" s="15">
        <v>27871.33</v>
      </c>
      <c r="DC173" s="15">
        <f>12*6400</f>
        <v>76800</v>
      </c>
      <c r="DE173" s="15"/>
      <c r="DF173" s="15">
        <f t="shared" si="828"/>
        <v>76800</v>
      </c>
      <c r="DH173" s="15"/>
      <c r="DI173" s="15">
        <f t="shared" si="829"/>
        <v>76800</v>
      </c>
      <c r="DK173" s="15"/>
      <c r="DL173" s="15">
        <f t="shared" si="830"/>
        <v>76800</v>
      </c>
      <c r="DN173" s="15"/>
      <c r="DO173" s="15">
        <f t="shared" si="831"/>
        <v>76800</v>
      </c>
      <c r="DQ173" s="15"/>
      <c r="DR173" s="15">
        <f t="shared" si="832"/>
        <v>76800</v>
      </c>
      <c r="DT173" s="15"/>
      <c r="DU173" s="15">
        <f t="shared" si="833"/>
        <v>76800</v>
      </c>
      <c r="DW173" s="15"/>
      <c r="DX173" s="15">
        <f t="shared" si="834"/>
        <v>76800</v>
      </c>
      <c r="DZ173" s="15"/>
      <c r="EA173" s="15">
        <f t="shared" si="835"/>
        <v>76800</v>
      </c>
      <c r="EC173" s="15"/>
      <c r="ED173" s="15">
        <f t="shared" si="836"/>
        <v>76800</v>
      </c>
      <c r="EF173" s="15"/>
      <c r="EG173" s="15">
        <f t="shared" si="837"/>
        <v>76800</v>
      </c>
      <c r="EI173" s="15">
        <v>69584.259999999995</v>
      </c>
      <c r="EK173" s="15">
        <v>64000</v>
      </c>
      <c r="EM173" s="15"/>
      <c r="EN173" s="15">
        <f t="shared" si="838"/>
        <v>64000</v>
      </c>
      <c r="EP173" s="15"/>
      <c r="EQ173" s="15">
        <f t="shared" si="839"/>
        <v>64000</v>
      </c>
      <c r="ES173" s="15"/>
      <c r="ET173" s="15">
        <f t="shared" si="840"/>
        <v>64000</v>
      </c>
      <c r="EW173" s="15">
        <f t="shared" si="841"/>
        <v>64000</v>
      </c>
      <c r="EZ173" s="15">
        <f t="shared" si="842"/>
        <v>64000</v>
      </c>
      <c r="FC173" s="15">
        <f t="shared" si="843"/>
        <v>64000</v>
      </c>
      <c r="FF173" s="15">
        <f t="shared" si="844"/>
        <v>64000</v>
      </c>
      <c r="FI173" s="15">
        <f t="shared" si="848"/>
        <v>64000</v>
      </c>
      <c r="FK173" s="227">
        <v>-4000</v>
      </c>
      <c r="FL173" s="15">
        <f t="shared" si="845"/>
        <v>60000</v>
      </c>
      <c r="FO173" s="15">
        <f t="shared" si="846"/>
        <v>60000</v>
      </c>
      <c r="FR173" s="15">
        <v>60000</v>
      </c>
      <c r="FT173" s="15">
        <v>57865.4</v>
      </c>
      <c r="FV173" s="15">
        <v>58000</v>
      </c>
      <c r="FW173" s="235">
        <f t="shared" si="802"/>
        <v>1.0023260877830276</v>
      </c>
    </row>
    <row r="174" spans="1:179" outlineLevel="1">
      <c r="A174" s="1" t="s">
        <v>71</v>
      </c>
      <c r="B174" s="1" t="s">
        <v>193</v>
      </c>
      <c r="C174" s="4" t="s">
        <v>194</v>
      </c>
      <c r="D174" s="43">
        <v>12000</v>
      </c>
      <c r="E174" s="34">
        <v>110.2</v>
      </c>
      <c r="F174" s="43">
        <v>20000</v>
      </c>
      <c r="G174" s="34">
        <v>66.12</v>
      </c>
      <c r="H174" s="46">
        <v>13223.5</v>
      </c>
      <c r="I174" s="36">
        <v>16000</v>
      </c>
      <c r="J174" s="14"/>
      <c r="K174" t="s">
        <v>332</v>
      </c>
      <c r="L174" s="118">
        <v>20000</v>
      </c>
      <c r="M174" s="17">
        <f t="shared" si="795"/>
        <v>0</v>
      </c>
      <c r="N174" s="17">
        <f t="shared" si="796"/>
        <v>0.25</v>
      </c>
      <c r="Q174" s="118">
        <v>20000</v>
      </c>
      <c r="R174" s="15">
        <v>7872</v>
      </c>
      <c r="S174" s="118">
        <v>15000</v>
      </c>
      <c r="T174" s="15">
        <f t="shared" si="803"/>
        <v>-5000</v>
      </c>
      <c r="U174" s="16">
        <f t="shared" si="804"/>
        <v>-0.25</v>
      </c>
      <c r="Y174" s="118">
        <v>15000</v>
      </c>
      <c r="AA174" s="118">
        <v>15000</v>
      </c>
      <c r="AB174" s="185">
        <f t="shared" si="805"/>
        <v>0</v>
      </c>
      <c r="AC174" s="187">
        <f t="shared" si="806"/>
        <v>0</v>
      </c>
      <c r="AD174" s="187"/>
      <c r="AE174" s="118">
        <v>15000</v>
      </c>
      <c r="AF174" s="182"/>
      <c r="AH174" s="15">
        <v>14774.1</v>
      </c>
      <c r="AI174" s="17">
        <f t="shared" si="807"/>
        <v>0.98494000000000004</v>
      </c>
      <c r="AK174" s="118">
        <v>15000</v>
      </c>
      <c r="AS174" s="15">
        <f t="shared" si="808"/>
        <v>15000</v>
      </c>
      <c r="AV174" s="15">
        <f t="shared" si="809"/>
        <v>15000</v>
      </c>
      <c r="AX174" s="15"/>
      <c r="AY174" s="15">
        <f t="shared" si="810"/>
        <v>15000</v>
      </c>
      <c r="BB174" s="15">
        <f t="shared" si="811"/>
        <v>15000</v>
      </c>
      <c r="BD174" s="15">
        <v>10000</v>
      </c>
      <c r="BE174" s="15">
        <f t="shared" si="812"/>
        <v>25000</v>
      </c>
      <c r="BG174" s="15"/>
      <c r="BH174" s="15">
        <f t="shared" si="813"/>
        <v>25000</v>
      </c>
      <c r="BJ174" s="15">
        <v>19528.599999999999</v>
      </c>
      <c r="BK174" s="235">
        <f t="shared" si="814"/>
        <v>0.78114399999999995</v>
      </c>
      <c r="BM174" s="15">
        <v>28000</v>
      </c>
      <c r="BN174" s="235">
        <f t="shared" si="815"/>
        <v>1.4337945372428131</v>
      </c>
      <c r="BO174" s="235">
        <f t="shared" si="847"/>
        <v>1.1200000000000001</v>
      </c>
      <c r="BQ174" s="15"/>
      <c r="BR174" s="15">
        <f t="shared" si="816"/>
        <v>28000</v>
      </c>
      <c r="BT174" s="15"/>
      <c r="BU174" s="15">
        <f t="shared" si="817"/>
        <v>28000</v>
      </c>
      <c r="BW174" s="15"/>
      <c r="BX174" s="15">
        <f t="shared" si="818"/>
        <v>28000</v>
      </c>
      <c r="BZ174" s="15"/>
      <c r="CA174" s="15">
        <f t="shared" si="819"/>
        <v>28000</v>
      </c>
      <c r="CC174" s="15"/>
      <c r="CD174" s="15">
        <f t="shared" si="820"/>
        <v>28000</v>
      </c>
      <c r="CF174" s="15"/>
      <c r="CG174" s="15">
        <f t="shared" si="821"/>
        <v>28000</v>
      </c>
      <c r="CI174" s="15"/>
      <c r="CJ174" s="15">
        <f t="shared" si="822"/>
        <v>28000</v>
      </c>
      <c r="CL174" s="15">
        <v>12000</v>
      </c>
      <c r="CM174" s="15">
        <f t="shared" si="823"/>
        <v>40000</v>
      </c>
      <c r="CO174" s="15">
        <v>5000</v>
      </c>
      <c r="CP174" s="15">
        <f t="shared" si="824"/>
        <v>45000</v>
      </c>
      <c r="CS174" s="15">
        <f t="shared" si="825"/>
        <v>45000</v>
      </c>
      <c r="CU174" s="227">
        <v>-2000</v>
      </c>
      <c r="CV174" s="15">
        <f t="shared" si="826"/>
        <v>43000</v>
      </c>
      <c r="CX174" s="227"/>
      <c r="CY174" s="15">
        <f t="shared" si="827"/>
        <v>43000</v>
      </c>
      <c r="DA174" s="15">
        <v>44119.1</v>
      </c>
      <c r="DC174" s="15">
        <v>60000</v>
      </c>
      <c r="DE174" s="15"/>
      <c r="DF174" s="15">
        <f t="shared" ref="DF174:DF178" si="849">DC174+DE174</f>
        <v>60000</v>
      </c>
      <c r="DH174" s="15"/>
      <c r="DI174" s="15">
        <f t="shared" si="829"/>
        <v>60000</v>
      </c>
      <c r="DK174" s="15"/>
      <c r="DL174" s="15">
        <f t="shared" si="830"/>
        <v>60000</v>
      </c>
      <c r="DN174" s="15"/>
      <c r="DO174" s="15">
        <f t="shared" si="831"/>
        <v>60000</v>
      </c>
      <c r="DQ174" s="15"/>
      <c r="DR174" s="15">
        <f t="shared" si="832"/>
        <v>60000</v>
      </c>
      <c r="DT174" s="15"/>
      <c r="DU174" s="15">
        <f t="shared" si="833"/>
        <v>60000</v>
      </c>
      <c r="DW174" s="15"/>
      <c r="DX174" s="15">
        <f t="shared" si="834"/>
        <v>60000</v>
      </c>
      <c r="DZ174" s="15"/>
      <c r="EA174" s="15">
        <f t="shared" si="835"/>
        <v>60000</v>
      </c>
      <c r="EC174" s="15"/>
      <c r="ED174" s="15">
        <f t="shared" si="836"/>
        <v>60000</v>
      </c>
      <c r="EF174" s="227">
        <v>-10000</v>
      </c>
      <c r="EG174" s="15">
        <f t="shared" si="837"/>
        <v>50000</v>
      </c>
      <c r="EI174" s="15">
        <v>49696</v>
      </c>
      <c r="EK174" s="15">
        <v>50000</v>
      </c>
      <c r="EM174" s="15"/>
      <c r="EN174" s="15">
        <f t="shared" si="838"/>
        <v>50000</v>
      </c>
      <c r="EP174" s="227">
        <v>10000</v>
      </c>
      <c r="EQ174" s="15">
        <f t="shared" si="839"/>
        <v>60000</v>
      </c>
      <c r="ES174" s="15"/>
      <c r="ET174" s="15">
        <f t="shared" si="840"/>
        <v>60000</v>
      </c>
      <c r="EW174" s="15">
        <f t="shared" si="841"/>
        <v>60000</v>
      </c>
      <c r="EZ174" s="15">
        <f t="shared" si="842"/>
        <v>60000</v>
      </c>
      <c r="FC174" s="15">
        <f t="shared" si="843"/>
        <v>60000</v>
      </c>
      <c r="FF174" s="15">
        <f t="shared" si="844"/>
        <v>60000</v>
      </c>
      <c r="FI174" s="15">
        <f t="shared" si="848"/>
        <v>60000</v>
      </c>
      <c r="FL174" s="15">
        <f t="shared" si="845"/>
        <v>60000</v>
      </c>
      <c r="FO174" s="15">
        <f t="shared" si="846"/>
        <v>60000</v>
      </c>
      <c r="FR174" s="15">
        <v>60000</v>
      </c>
      <c r="FT174" s="15">
        <v>50357.5</v>
      </c>
      <c r="FV174" s="15">
        <v>55000</v>
      </c>
      <c r="FW174" s="235">
        <f t="shared" si="802"/>
        <v>1.0921908355259893</v>
      </c>
    </row>
    <row r="175" spans="1:179" outlineLevel="1">
      <c r="A175" s="1" t="s">
        <v>71</v>
      </c>
      <c r="B175" s="1" t="s">
        <v>195</v>
      </c>
      <c r="C175" s="4" t="s">
        <v>196</v>
      </c>
      <c r="D175" s="43">
        <v>2200</v>
      </c>
      <c r="E175" s="34">
        <v>0</v>
      </c>
      <c r="F175" s="43">
        <v>2200</v>
      </c>
      <c r="G175" s="34">
        <v>0</v>
      </c>
      <c r="H175" s="46">
        <v>0</v>
      </c>
      <c r="I175" s="36">
        <v>0</v>
      </c>
      <c r="J175" s="14"/>
      <c r="L175" s="118">
        <v>1000</v>
      </c>
      <c r="M175" s="17">
        <f t="shared" si="795"/>
        <v>-0.54545454545454541</v>
      </c>
      <c r="N175" s="17" t="e">
        <f t="shared" si="796"/>
        <v>#DIV/0!</v>
      </c>
      <c r="Q175" s="118">
        <v>1000</v>
      </c>
      <c r="R175" s="15">
        <v>0</v>
      </c>
      <c r="S175" s="118">
        <v>0</v>
      </c>
      <c r="T175" s="15">
        <f t="shared" si="803"/>
        <v>-1000</v>
      </c>
      <c r="U175" s="16">
        <f t="shared" si="804"/>
        <v>-1</v>
      </c>
      <c r="Y175" s="118">
        <v>0</v>
      </c>
      <c r="AA175" s="118">
        <v>0</v>
      </c>
      <c r="AB175" s="185">
        <f t="shared" si="805"/>
        <v>0</v>
      </c>
      <c r="AC175" s="187">
        <f t="shared" si="806"/>
        <v>0</v>
      </c>
      <c r="AD175" s="187"/>
      <c r="AE175" s="118">
        <v>2600</v>
      </c>
      <c r="AF175" s="182">
        <f>AE175-AA175</f>
        <v>2600</v>
      </c>
      <c r="AH175" s="15">
        <v>2590</v>
      </c>
      <c r="AI175" s="17">
        <f t="shared" si="807"/>
        <v>0.99615384615384617</v>
      </c>
      <c r="AK175" s="118">
        <v>2600</v>
      </c>
      <c r="AS175" s="15">
        <f t="shared" si="808"/>
        <v>2600</v>
      </c>
      <c r="AV175" s="15">
        <f t="shared" si="809"/>
        <v>2600</v>
      </c>
      <c r="AX175" s="15"/>
      <c r="AY175" s="15">
        <f t="shared" si="810"/>
        <v>2600</v>
      </c>
      <c r="BB175" s="15">
        <f t="shared" si="811"/>
        <v>2600</v>
      </c>
      <c r="BD175" s="15">
        <v>-2600</v>
      </c>
      <c r="BE175" s="15">
        <f t="shared" si="812"/>
        <v>0</v>
      </c>
      <c r="BG175" s="15"/>
      <c r="BH175" s="15">
        <f t="shared" si="813"/>
        <v>0</v>
      </c>
      <c r="BJ175" s="15">
        <v>2590</v>
      </c>
      <c r="BK175" s="235" t="e">
        <f t="shared" si="814"/>
        <v>#DIV/0!</v>
      </c>
      <c r="BM175" s="15">
        <v>2600</v>
      </c>
      <c r="BN175" s="235">
        <f t="shared" si="815"/>
        <v>1.0038610038610039</v>
      </c>
      <c r="BO175" s="235" t="e">
        <f t="shared" si="847"/>
        <v>#DIV/0!</v>
      </c>
      <c r="BQ175" s="15"/>
      <c r="BR175" s="15">
        <f t="shared" si="816"/>
        <v>2600</v>
      </c>
      <c r="BT175" s="15"/>
      <c r="BU175" s="15">
        <f t="shared" si="817"/>
        <v>2600</v>
      </c>
      <c r="BW175" s="15"/>
      <c r="BX175" s="15">
        <f t="shared" si="818"/>
        <v>2600</v>
      </c>
      <c r="BZ175" s="15"/>
      <c r="CA175" s="15">
        <f t="shared" si="819"/>
        <v>2600</v>
      </c>
      <c r="CC175" s="15"/>
      <c r="CD175" s="15">
        <f t="shared" si="820"/>
        <v>2600</v>
      </c>
      <c r="CF175" s="15"/>
      <c r="CG175" s="15">
        <f t="shared" si="821"/>
        <v>2600</v>
      </c>
      <c r="CI175" s="15"/>
      <c r="CJ175" s="15">
        <f t="shared" si="822"/>
        <v>2600</v>
      </c>
      <c r="CM175" s="15">
        <f t="shared" si="823"/>
        <v>2600</v>
      </c>
      <c r="CP175" s="15">
        <f t="shared" si="824"/>
        <v>2600</v>
      </c>
      <c r="CS175" s="15">
        <f t="shared" si="825"/>
        <v>2600</v>
      </c>
      <c r="CU175" s="227">
        <v>100</v>
      </c>
      <c r="CV175" s="15">
        <f t="shared" si="826"/>
        <v>2700</v>
      </c>
      <c r="CX175" s="227"/>
      <c r="CY175" s="15">
        <f t="shared" si="827"/>
        <v>2700</v>
      </c>
      <c r="DA175" s="15">
        <v>2690</v>
      </c>
      <c r="DC175" s="15">
        <v>2700</v>
      </c>
      <c r="DE175" s="15"/>
      <c r="DF175" s="15">
        <f t="shared" si="849"/>
        <v>2700</v>
      </c>
      <c r="DH175" s="15"/>
      <c r="DI175" s="15">
        <f t="shared" si="829"/>
        <v>2700</v>
      </c>
      <c r="DK175" s="15"/>
      <c r="DL175" s="15">
        <f t="shared" si="830"/>
        <v>2700</v>
      </c>
      <c r="DN175" s="15"/>
      <c r="DO175" s="15">
        <f t="shared" si="831"/>
        <v>2700</v>
      </c>
      <c r="DQ175" s="15"/>
      <c r="DR175" s="15">
        <f t="shared" si="832"/>
        <v>2700</v>
      </c>
      <c r="DT175" s="15"/>
      <c r="DU175" s="15">
        <f t="shared" si="833"/>
        <v>2700</v>
      </c>
      <c r="DW175" s="15"/>
      <c r="DX175" s="15">
        <f t="shared" si="834"/>
        <v>2700</v>
      </c>
      <c r="DZ175" s="15"/>
      <c r="EA175" s="15">
        <f t="shared" si="835"/>
        <v>2700</v>
      </c>
      <c r="EC175" s="227">
        <v>-1500</v>
      </c>
      <c r="ED175" s="15">
        <f t="shared" si="836"/>
        <v>1200</v>
      </c>
      <c r="EF175" s="15"/>
      <c r="EG175" s="15">
        <f t="shared" si="837"/>
        <v>1200</v>
      </c>
      <c r="EI175" s="15">
        <v>900</v>
      </c>
      <c r="EK175" s="15">
        <v>1500</v>
      </c>
      <c r="EM175" s="15"/>
      <c r="EN175" s="15">
        <f t="shared" si="838"/>
        <v>1500</v>
      </c>
      <c r="EP175" s="15"/>
      <c r="EQ175" s="15">
        <f t="shared" si="839"/>
        <v>1500</v>
      </c>
      <c r="ES175" s="15"/>
      <c r="ET175" s="15">
        <f t="shared" si="840"/>
        <v>1500</v>
      </c>
      <c r="EV175" s="227">
        <v>-264</v>
      </c>
      <c r="EW175" s="15">
        <f t="shared" si="841"/>
        <v>1236</v>
      </c>
      <c r="EZ175" s="15">
        <f t="shared" si="842"/>
        <v>1236</v>
      </c>
      <c r="FC175" s="15">
        <f t="shared" si="843"/>
        <v>1236</v>
      </c>
      <c r="FF175" s="15">
        <f t="shared" si="844"/>
        <v>1236</v>
      </c>
      <c r="FI175" s="15">
        <f t="shared" si="848"/>
        <v>1236</v>
      </c>
      <c r="FL175" s="15">
        <f t="shared" si="845"/>
        <v>1236</v>
      </c>
      <c r="FO175" s="15">
        <f t="shared" si="846"/>
        <v>1236</v>
      </c>
      <c r="FR175" s="15">
        <v>1236</v>
      </c>
      <c r="FT175" s="15">
        <v>1236</v>
      </c>
      <c r="FV175" s="15">
        <v>1500</v>
      </c>
      <c r="FW175" s="235">
        <f t="shared" si="802"/>
        <v>1.2135922330097086</v>
      </c>
    </row>
    <row r="176" spans="1:179" outlineLevel="1">
      <c r="A176" s="1" t="s">
        <v>71</v>
      </c>
      <c r="B176" s="1" t="s">
        <v>115</v>
      </c>
      <c r="C176" s="4" t="s">
        <v>116</v>
      </c>
      <c r="D176" s="43">
        <v>63500</v>
      </c>
      <c r="E176" s="34">
        <v>62.41</v>
      </c>
      <c r="F176" s="43">
        <v>63500</v>
      </c>
      <c r="G176" s="34">
        <v>62.41</v>
      </c>
      <c r="H176" s="46">
        <v>39632.11</v>
      </c>
      <c r="I176" s="36">
        <v>40000</v>
      </c>
      <c r="J176" s="14"/>
      <c r="L176" s="118">
        <v>170000</v>
      </c>
      <c r="M176" s="17">
        <f t="shared" si="795"/>
        <v>1.6771653543307088</v>
      </c>
      <c r="N176" s="17">
        <f t="shared" si="796"/>
        <v>3.25</v>
      </c>
      <c r="Q176" s="118">
        <v>120000</v>
      </c>
      <c r="R176" s="15">
        <v>35041</v>
      </c>
      <c r="S176" s="118">
        <v>45000</v>
      </c>
      <c r="T176" s="15">
        <f t="shared" si="803"/>
        <v>-75000</v>
      </c>
      <c r="U176" s="16">
        <f t="shared" si="804"/>
        <v>-0.625</v>
      </c>
      <c r="V176" s="140">
        <v>120000</v>
      </c>
      <c r="W176">
        <v>-50000</v>
      </c>
      <c r="Y176" s="118">
        <v>45000</v>
      </c>
      <c r="AA176" s="118">
        <v>75000</v>
      </c>
      <c r="AB176" s="185">
        <f t="shared" si="805"/>
        <v>30000</v>
      </c>
      <c r="AC176" s="187">
        <f t="shared" ref="AC176:AC181" si="850">AA176-Y176</f>
        <v>30000</v>
      </c>
      <c r="AD176" s="187"/>
      <c r="AE176" s="118">
        <v>75000</v>
      </c>
      <c r="AF176" s="182"/>
      <c r="AH176" s="15">
        <v>65856.5</v>
      </c>
      <c r="AI176" s="17">
        <f t="shared" si="807"/>
        <v>0.87808666666666668</v>
      </c>
      <c r="AK176" s="118">
        <f>140500-18000-13000-300-20000-11000</f>
        <v>78200</v>
      </c>
      <c r="AP176" s="220">
        <f>-1500-18000-13000-300-20000-11000</f>
        <v>-63800</v>
      </c>
      <c r="AS176" s="15">
        <f t="shared" si="808"/>
        <v>78200</v>
      </c>
      <c r="AV176" s="15">
        <f t="shared" si="809"/>
        <v>78200</v>
      </c>
      <c r="AX176" s="15"/>
      <c r="AY176" s="15">
        <f t="shared" si="810"/>
        <v>78200</v>
      </c>
      <c r="BA176" s="227">
        <v>1000</v>
      </c>
      <c r="BB176" s="15">
        <f t="shared" si="811"/>
        <v>79200</v>
      </c>
      <c r="BD176" s="15">
        <v>50000</v>
      </c>
      <c r="BE176" s="15">
        <f t="shared" si="812"/>
        <v>129200</v>
      </c>
      <c r="BG176" s="15"/>
      <c r="BH176" s="15">
        <f t="shared" si="813"/>
        <v>129200</v>
      </c>
      <c r="BJ176" s="15">
        <v>127726</v>
      </c>
      <c r="BK176" s="235">
        <f t="shared" si="814"/>
        <v>0.98859133126934984</v>
      </c>
      <c r="BM176" s="15">
        <v>70000</v>
      </c>
      <c r="BN176" s="235">
        <f t="shared" si="815"/>
        <v>0.5480481656044971</v>
      </c>
      <c r="BO176" s="235">
        <f t="shared" si="847"/>
        <v>0.54179566563467496</v>
      </c>
      <c r="BQ176" s="15"/>
      <c r="BR176" s="15">
        <f t="shared" si="816"/>
        <v>70000</v>
      </c>
      <c r="BT176" s="15"/>
      <c r="BU176" s="15">
        <f t="shared" si="817"/>
        <v>70000</v>
      </c>
      <c r="BW176" s="15"/>
      <c r="BX176" s="15">
        <f t="shared" si="818"/>
        <v>70000</v>
      </c>
      <c r="BZ176" s="15"/>
      <c r="CA176" s="15">
        <f t="shared" si="819"/>
        <v>70000</v>
      </c>
      <c r="CC176" s="227">
        <v>241888.89</v>
      </c>
      <c r="CD176" s="15">
        <f t="shared" si="820"/>
        <v>311888.89</v>
      </c>
      <c r="CF176" s="15"/>
      <c r="CG176" s="15">
        <f t="shared" si="821"/>
        <v>311888.89</v>
      </c>
      <c r="CI176" s="15"/>
      <c r="CJ176" s="15">
        <f t="shared" si="822"/>
        <v>311888.89</v>
      </c>
      <c r="CM176" s="15">
        <f t="shared" si="823"/>
        <v>311888.89</v>
      </c>
      <c r="CP176" s="15">
        <f t="shared" si="824"/>
        <v>311888.89</v>
      </c>
      <c r="CS176" s="15">
        <f t="shared" si="825"/>
        <v>311888.89</v>
      </c>
      <c r="CU176" s="227">
        <v>-228750</v>
      </c>
      <c r="CV176" s="15">
        <f t="shared" si="826"/>
        <v>83138.890000000014</v>
      </c>
      <c r="CX176" s="227"/>
      <c r="CY176" s="15">
        <f t="shared" si="827"/>
        <v>83138.890000000014</v>
      </c>
      <c r="DA176" s="15">
        <v>82648.479999999996</v>
      </c>
      <c r="DC176" s="15">
        <v>80000</v>
      </c>
      <c r="DE176" s="15"/>
      <c r="DF176" s="15">
        <f t="shared" si="849"/>
        <v>80000</v>
      </c>
      <c r="DH176" s="15"/>
      <c r="DI176" s="15">
        <f t="shared" si="829"/>
        <v>80000</v>
      </c>
      <c r="DK176" s="15"/>
      <c r="DL176" s="15">
        <f t="shared" si="830"/>
        <v>80000</v>
      </c>
      <c r="DN176" s="15"/>
      <c r="DO176" s="15">
        <f t="shared" si="831"/>
        <v>80000</v>
      </c>
      <c r="DQ176" s="15"/>
      <c r="DR176" s="15">
        <f t="shared" si="832"/>
        <v>80000</v>
      </c>
      <c r="DT176" s="15"/>
      <c r="DU176" s="15">
        <f t="shared" si="833"/>
        <v>80000</v>
      </c>
      <c r="DW176" s="15"/>
      <c r="DX176" s="15">
        <f t="shared" si="834"/>
        <v>80000</v>
      </c>
      <c r="DZ176" s="15"/>
      <c r="EA176" s="15">
        <f t="shared" si="835"/>
        <v>80000</v>
      </c>
      <c r="EC176" s="227">
        <v>100000</v>
      </c>
      <c r="ED176" s="15">
        <f t="shared" si="836"/>
        <v>180000</v>
      </c>
      <c r="EF176" s="227">
        <v>-37000</v>
      </c>
      <c r="EG176" s="15">
        <f t="shared" si="837"/>
        <v>143000</v>
      </c>
      <c r="EI176" s="15">
        <v>140623.1</v>
      </c>
      <c r="EK176" s="15">
        <v>70000</v>
      </c>
      <c r="EM176" s="15"/>
      <c r="EN176" s="15">
        <f t="shared" si="838"/>
        <v>70000</v>
      </c>
      <c r="EP176" s="15"/>
      <c r="EQ176" s="15">
        <f t="shared" si="839"/>
        <v>70000</v>
      </c>
      <c r="ES176" s="15"/>
      <c r="ET176" s="15">
        <f t="shared" si="840"/>
        <v>70000</v>
      </c>
      <c r="EW176" s="15">
        <f t="shared" si="841"/>
        <v>70000</v>
      </c>
      <c r="EZ176" s="15">
        <f t="shared" si="842"/>
        <v>70000</v>
      </c>
      <c r="FC176" s="15">
        <f t="shared" si="843"/>
        <v>70000</v>
      </c>
      <c r="FF176" s="15">
        <f t="shared" si="844"/>
        <v>70000</v>
      </c>
      <c r="FI176" s="15">
        <f t="shared" si="848"/>
        <v>70000</v>
      </c>
      <c r="FL176" s="15">
        <f t="shared" si="845"/>
        <v>70000</v>
      </c>
      <c r="FO176" s="15">
        <f t="shared" si="846"/>
        <v>70000</v>
      </c>
      <c r="FR176" s="15">
        <v>70000</v>
      </c>
      <c r="FT176" s="15">
        <v>46449.599999999999</v>
      </c>
      <c r="FV176" s="15">
        <v>50000</v>
      </c>
      <c r="FW176" s="235">
        <f t="shared" si="802"/>
        <v>1.0764355344287142</v>
      </c>
    </row>
    <row r="177" spans="1:179" outlineLevel="1">
      <c r="A177" s="1" t="s">
        <v>71</v>
      </c>
      <c r="B177" s="1" t="s">
        <v>117</v>
      </c>
      <c r="C177" s="4" t="s">
        <v>118</v>
      </c>
      <c r="D177" s="43">
        <v>40000</v>
      </c>
      <c r="E177" s="34">
        <v>85.59</v>
      </c>
      <c r="F177" s="43">
        <v>40000</v>
      </c>
      <c r="G177" s="34">
        <v>85.59</v>
      </c>
      <c r="H177" s="46">
        <v>34235</v>
      </c>
      <c r="I177" s="36">
        <v>35000</v>
      </c>
      <c r="J177" s="14"/>
      <c r="L177" s="118">
        <v>38000</v>
      </c>
      <c r="M177" s="17">
        <f t="shared" si="795"/>
        <v>-5.0000000000000044E-2</v>
      </c>
      <c r="N177" s="17">
        <f t="shared" si="796"/>
        <v>8.5714285714285632E-2</v>
      </c>
      <c r="Q177" s="118">
        <v>43400</v>
      </c>
      <c r="R177" s="15">
        <v>43363</v>
      </c>
      <c r="S177" s="118">
        <v>55000</v>
      </c>
      <c r="T177" s="15">
        <f t="shared" si="803"/>
        <v>11600</v>
      </c>
      <c r="U177" s="16">
        <f t="shared" si="804"/>
        <v>0.26728110599078336</v>
      </c>
      <c r="Y177" s="118">
        <v>55000</v>
      </c>
      <c r="AA177" s="118">
        <v>70000</v>
      </c>
      <c r="AB177" s="185">
        <f t="shared" si="805"/>
        <v>15000</v>
      </c>
      <c r="AC177" s="187">
        <f t="shared" si="850"/>
        <v>15000</v>
      </c>
      <c r="AD177" s="187"/>
      <c r="AE177" s="118">
        <v>70000</v>
      </c>
      <c r="AF177" s="182"/>
      <c r="AH177" s="15">
        <v>62672.5</v>
      </c>
      <c r="AI177" s="17">
        <f t="shared" si="807"/>
        <v>0.8953214285714286</v>
      </c>
      <c r="AK177" s="118">
        <v>75000</v>
      </c>
      <c r="AS177" s="15">
        <f t="shared" si="808"/>
        <v>75000</v>
      </c>
      <c r="AV177" s="15">
        <f t="shared" si="809"/>
        <v>75000</v>
      </c>
      <c r="AX177" s="15"/>
      <c r="AY177" s="15">
        <f t="shared" si="810"/>
        <v>75000</v>
      </c>
      <c r="BB177" s="15">
        <f t="shared" si="811"/>
        <v>75000</v>
      </c>
      <c r="BD177" s="15">
        <v>15000</v>
      </c>
      <c r="BE177" s="15">
        <f t="shared" si="812"/>
        <v>90000</v>
      </c>
      <c r="BG177" s="15"/>
      <c r="BH177" s="15">
        <f t="shared" si="813"/>
        <v>90000</v>
      </c>
      <c r="BJ177" s="15">
        <v>89299.44</v>
      </c>
      <c r="BK177" s="235">
        <f t="shared" si="814"/>
        <v>0.99221599999999999</v>
      </c>
      <c r="BM177" s="15">
        <v>70000</v>
      </c>
      <c r="BN177" s="235">
        <f t="shared" si="815"/>
        <v>0.78387949577287386</v>
      </c>
      <c r="BO177" s="235">
        <f t="shared" si="847"/>
        <v>0.77777777777777779</v>
      </c>
      <c r="BQ177" s="15"/>
      <c r="BR177" s="15">
        <f t="shared" si="816"/>
        <v>70000</v>
      </c>
      <c r="BT177" s="15"/>
      <c r="BU177" s="15">
        <f t="shared" si="817"/>
        <v>70000</v>
      </c>
      <c r="BW177" s="15"/>
      <c r="BX177" s="15">
        <f t="shared" si="818"/>
        <v>70000</v>
      </c>
      <c r="BZ177" s="15"/>
      <c r="CA177" s="15">
        <f t="shared" si="819"/>
        <v>70000</v>
      </c>
      <c r="CC177" s="15"/>
      <c r="CD177" s="15">
        <f t="shared" si="820"/>
        <v>70000</v>
      </c>
      <c r="CF177" s="15"/>
      <c r="CG177" s="15">
        <f t="shared" si="821"/>
        <v>70000</v>
      </c>
      <c r="CI177" s="227">
        <v>-22000</v>
      </c>
      <c r="CJ177" s="15">
        <f t="shared" si="822"/>
        <v>48000</v>
      </c>
      <c r="CM177" s="15">
        <f t="shared" si="823"/>
        <v>48000</v>
      </c>
      <c r="CP177" s="15">
        <f t="shared" si="824"/>
        <v>48000</v>
      </c>
      <c r="CS177" s="15">
        <f t="shared" si="825"/>
        <v>48000</v>
      </c>
      <c r="CU177" s="227">
        <v>5000</v>
      </c>
      <c r="CV177" s="15">
        <f t="shared" si="826"/>
        <v>53000</v>
      </c>
      <c r="CX177" s="227"/>
      <c r="CY177" s="15">
        <f t="shared" si="827"/>
        <v>53000</v>
      </c>
      <c r="DA177" s="15">
        <v>52726</v>
      </c>
      <c r="DC177" s="15">
        <v>75048</v>
      </c>
      <c r="DE177" s="15"/>
      <c r="DF177" s="15">
        <f t="shared" si="849"/>
        <v>75048</v>
      </c>
      <c r="DH177" s="15"/>
      <c r="DI177" s="15">
        <f t="shared" si="829"/>
        <v>75048</v>
      </c>
      <c r="DK177" s="15"/>
      <c r="DL177" s="15">
        <f t="shared" si="830"/>
        <v>75048</v>
      </c>
      <c r="DN177" s="15"/>
      <c r="DO177" s="15">
        <f t="shared" si="831"/>
        <v>75048</v>
      </c>
      <c r="DQ177" s="15"/>
      <c r="DR177" s="15">
        <f t="shared" si="832"/>
        <v>75048</v>
      </c>
      <c r="DT177" s="15"/>
      <c r="DU177" s="15">
        <f t="shared" si="833"/>
        <v>75048</v>
      </c>
      <c r="DW177" s="15"/>
      <c r="DX177" s="15">
        <f t="shared" si="834"/>
        <v>75048</v>
      </c>
      <c r="DZ177" s="15"/>
      <c r="EA177" s="15">
        <f t="shared" si="835"/>
        <v>75048</v>
      </c>
      <c r="EC177" s="15"/>
      <c r="ED177" s="15">
        <f t="shared" si="836"/>
        <v>75048</v>
      </c>
      <c r="EF177" s="227">
        <v>-15000</v>
      </c>
      <c r="EG177" s="15">
        <f t="shared" si="837"/>
        <v>60048</v>
      </c>
      <c r="EI177" s="15">
        <v>58728.52</v>
      </c>
      <c r="EK177" s="15">
        <v>160000</v>
      </c>
      <c r="EM177" s="15"/>
      <c r="EN177" s="15">
        <f t="shared" si="838"/>
        <v>160000</v>
      </c>
      <c r="EP177" s="15"/>
      <c r="EQ177" s="15">
        <f t="shared" si="839"/>
        <v>160000</v>
      </c>
      <c r="ES177" s="15"/>
      <c r="ET177" s="15">
        <f t="shared" si="840"/>
        <v>160000</v>
      </c>
      <c r="EW177" s="15">
        <f t="shared" si="841"/>
        <v>160000</v>
      </c>
      <c r="EZ177" s="15">
        <f t="shared" si="842"/>
        <v>160000</v>
      </c>
      <c r="FB177" s="227">
        <v>-60000</v>
      </c>
      <c r="FC177" s="15">
        <f t="shared" si="843"/>
        <v>100000</v>
      </c>
      <c r="FF177" s="15">
        <f t="shared" si="844"/>
        <v>100000</v>
      </c>
      <c r="FI177" s="15">
        <f t="shared" si="848"/>
        <v>100000</v>
      </c>
      <c r="FK177" s="227">
        <v>-30000</v>
      </c>
      <c r="FL177" s="15">
        <f t="shared" si="845"/>
        <v>70000</v>
      </c>
      <c r="FN177" s="227">
        <v>-12800</v>
      </c>
      <c r="FO177" s="15">
        <f t="shared" si="846"/>
        <v>57200</v>
      </c>
      <c r="FR177" s="15">
        <v>57200</v>
      </c>
      <c r="FT177" s="15">
        <v>42750.59</v>
      </c>
      <c r="FV177" s="15">
        <v>50000</v>
      </c>
      <c r="FW177" s="235">
        <f t="shared" si="802"/>
        <v>1.169574501778806</v>
      </c>
    </row>
    <row r="178" spans="1:179" outlineLevel="1">
      <c r="A178" s="1" t="s">
        <v>71</v>
      </c>
      <c r="B178" s="1" t="s">
        <v>206</v>
      </c>
      <c r="C178" s="4" t="s">
        <v>207</v>
      </c>
      <c r="D178" s="43"/>
      <c r="E178" s="34"/>
      <c r="F178" s="43"/>
      <c r="G178" s="34"/>
      <c r="H178" s="46"/>
      <c r="I178" s="36"/>
      <c r="J178" s="14"/>
      <c r="M178" s="17"/>
      <c r="N178" s="17"/>
      <c r="U178" s="16"/>
      <c r="Y178" s="118"/>
      <c r="AB178" s="185"/>
      <c r="AC178" s="187"/>
      <c r="AD178" s="187"/>
      <c r="AE178" s="118">
        <v>500</v>
      </c>
      <c r="AF178" s="182">
        <f>AE178-AA178</f>
        <v>500</v>
      </c>
      <c r="AH178" s="15">
        <v>473</v>
      </c>
      <c r="AI178" s="17">
        <f t="shared" si="807"/>
        <v>0.94599999999999995</v>
      </c>
      <c r="AK178" s="118">
        <v>500</v>
      </c>
      <c r="AL178" s="15" t="s">
        <v>460</v>
      </c>
      <c r="AS178" s="15">
        <f t="shared" si="808"/>
        <v>500</v>
      </c>
      <c r="AV178" s="15">
        <f t="shared" si="809"/>
        <v>500</v>
      </c>
      <c r="AX178" s="15"/>
      <c r="AY178" s="15">
        <f t="shared" si="810"/>
        <v>500</v>
      </c>
      <c r="BB178" s="15">
        <f t="shared" si="811"/>
        <v>500</v>
      </c>
      <c r="BD178" s="15">
        <v>-500</v>
      </c>
      <c r="BE178" s="15">
        <f t="shared" si="812"/>
        <v>0</v>
      </c>
      <c r="BG178" s="15"/>
      <c r="BH178" s="15">
        <f t="shared" si="813"/>
        <v>0</v>
      </c>
      <c r="BJ178" s="15">
        <v>0</v>
      </c>
      <c r="BK178" s="235" t="e">
        <f t="shared" si="814"/>
        <v>#DIV/0!</v>
      </c>
      <c r="BM178" s="15">
        <v>0</v>
      </c>
      <c r="BN178" s="235" t="e">
        <f t="shared" si="815"/>
        <v>#DIV/0!</v>
      </c>
      <c r="BO178" s="235" t="e">
        <f t="shared" si="847"/>
        <v>#DIV/0!</v>
      </c>
      <c r="BQ178" s="15"/>
      <c r="BR178" s="15">
        <f t="shared" si="816"/>
        <v>0</v>
      </c>
      <c r="BT178" s="15"/>
      <c r="BU178" s="15">
        <f t="shared" si="817"/>
        <v>0</v>
      </c>
      <c r="BW178" s="15"/>
      <c r="BX178" s="15">
        <f t="shared" si="818"/>
        <v>0</v>
      </c>
      <c r="BZ178" s="15"/>
      <c r="CA178" s="15">
        <f t="shared" si="819"/>
        <v>0</v>
      </c>
      <c r="CC178" s="15"/>
      <c r="CD178" s="15">
        <f t="shared" si="820"/>
        <v>0</v>
      </c>
      <c r="CF178" s="15"/>
      <c r="CG178" s="15">
        <f t="shared" si="821"/>
        <v>0</v>
      </c>
      <c r="CH178">
        <v>1594</v>
      </c>
      <c r="CI178" s="227">
        <v>3000</v>
      </c>
      <c r="CJ178" s="15">
        <f t="shared" si="822"/>
        <v>3000</v>
      </c>
      <c r="CM178" s="15">
        <f t="shared" si="823"/>
        <v>3000</v>
      </c>
      <c r="CP178" s="15">
        <f t="shared" si="824"/>
        <v>3000</v>
      </c>
      <c r="CS178" s="15">
        <f t="shared" si="825"/>
        <v>3000</v>
      </c>
      <c r="CU178" s="227">
        <v>-1400</v>
      </c>
      <c r="CV178" s="15">
        <f t="shared" si="826"/>
        <v>1600</v>
      </c>
      <c r="CX178" s="227"/>
      <c r="CY178" s="15">
        <f t="shared" si="827"/>
        <v>1600</v>
      </c>
      <c r="DA178" s="15">
        <v>1594</v>
      </c>
      <c r="DC178" s="15">
        <v>3000</v>
      </c>
      <c r="DE178" s="15"/>
      <c r="DF178" s="15">
        <f t="shared" si="849"/>
        <v>3000</v>
      </c>
      <c r="DH178" s="15"/>
      <c r="DI178" s="15">
        <f t="shared" si="829"/>
        <v>3000</v>
      </c>
      <c r="DK178" s="15"/>
      <c r="DL178" s="15">
        <f t="shared" si="830"/>
        <v>3000</v>
      </c>
      <c r="DN178" s="15"/>
      <c r="DO178" s="15">
        <f t="shared" si="831"/>
        <v>3000</v>
      </c>
      <c r="DQ178" s="227">
        <v>2000</v>
      </c>
      <c r="DR178" s="15">
        <f t="shared" si="832"/>
        <v>5000</v>
      </c>
      <c r="DT178" s="15"/>
      <c r="DU178" s="15">
        <f t="shared" si="833"/>
        <v>5000</v>
      </c>
      <c r="DW178" s="15"/>
      <c r="DX178" s="15">
        <f t="shared" si="834"/>
        <v>5000</v>
      </c>
      <c r="DZ178" s="15"/>
      <c r="EA178" s="15">
        <f t="shared" si="835"/>
        <v>5000</v>
      </c>
      <c r="EC178" s="15"/>
      <c r="ED178" s="15">
        <f t="shared" si="836"/>
        <v>5000</v>
      </c>
      <c r="EF178" s="15"/>
      <c r="EG178" s="15">
        <f t="shared" si="837"/>
        <v>5000</v>
      </c>
      <c r="EI178" s="15">
        <v>2668</v>
      </c>
      <c r="EK178" s="15">
        <v>5000</v>
      </c>
      <c r="EM178" s="15"/>
      <c r="EN178" s="15">
        <f t="shared" si="838"/>
        <v>5000</v>
      </c>
      <c r="EP178" s="15"/>
      <c r="EQ178" s="15">
        <f t="shared" si="839"/>
        <v>5000</v>
      </c>
      <c r="ES178" s="15"/>
      <c r="ET178" s="15">
        <f t="shared" si="840"/>
        <v>5000</v>
      </c>
      <c r="EW178" s="15">
        <f t="shared" si="841"/>
        <v>5000</v>
      </c>
      <c r="EZ178" s="15">
        <f t="shared" si="842"/>
        <v>5000</v>
      </c>
      <c r="FC178" s="15">
        <f t="shared" si="843"/>
        <v>5000</v>
      </c>
      <c r="FF178" s="15">
        <f t="shared" si="844"/>
        <v>5000</v>
      </c>
      <c r="FI178" s="15">
        <f t="shared" si="848"/>
        <v>5000</v>
      </c>
      <c r="FK178" s="227">
        <v>-3000</v>
      </c>
      <c r="FL178" s="15">
        <f t="shared" si="845"/>
        <v>2000</v>
      </c>
      <c r="FO178" s="15">
        <f t="shared" si="846"/>
        <v>2000</v>
      </c>
      <c r="FR178" s="15">
        <v>2000</v>
      </c>
      <c r="FT178" s="15">
        <v>0</v>
      </c>
      <c r="FW178" s="235" t="e">
        <f t="shared" si="802"/>
        <v>#DIV/0!</v>
      </c>
    </row>
    <row r="179" spans="1:179" outlineLevel="1">
      <c r="A179" s="1" t="s">
        <v>71</v>
      </c>
      <c r="B179" s="1" t="s">
        <v>129</v>
      </c>
      <c r="C179" s="4" t="s">
        <v>550</v>
      </c>
      <c r="D179" s="43"/>
      <c r="E179" s="34"/>
      <c r="F179" s="43"/>
      <c r="G179" s="34"/>
      <c r="H179" s="46"/>
      <c r="I179" s="36"/>
      <c r="J179" s="14"/>
      <c r="M179" s="17"/>
      <c r="N179" s="17"/>
      <c r="U179" s="16"/>
      <c r="Y179" s="118"/>
      <c r="AB179" s="185"/>
      <c r="AC179" s="187"/>
      <c r="AD179" s="187"/>
      <c r="AF179" s="182"/>
      <c r="AH179" s="15"/>
      <c r="AI179" s="17"/>
      <c r="AS179" s="15"/>
      <c r="AV179" s="15"/>
      <c r="AX179" s="15"/>
      <c r="AY179" s="15"/>
      <c r="BB179" s="15"/>
      <c r="BD179" s="15"/>
      <c r="BE179" s="15"/>
      <c r="BG179" s="15"/>
      <c r="BH179" s="15"/>
      <c r="BK179" s="235"/>
      <c r="BM179" s="15"/>
      <c r="BN179" s="235"/>
      <c r="BO179" s="235"/>
      <c r="BQ179" s="227">
        <v>35400</v>
      </c>
      <c r="BR179" s="15">
        <f t="shared" si="816"/>
        <v>35400</v>
      </c>
      <c r="BT179" s="15"/>
      <c r="BU179" s="15">
        <f t="shared" si="817"/>
        <v>35400</v>
      </c>
      <c r="BW179" s="15"/>
      <c r="BX179" s="15">
        <f t="shared" si="818"/>
        <v>35400</v>
      </c>
      <c r="BZ179" s="15"/>
      <c r="CA179" s="15">
        <f t="shared" si="819"/>
        <v>35400</v>
      </c>
      <c r="CC179" s="15"/>
      <c r="CD179" s="15">
        <f t="shared" si="820"/>
        <v>35400</v>
      </c>
      <c r="CF179" s="15"/>
      <c r="CG179" s="15">
        <f t="shared" si="821"/>
        <v>35400</v>
      </c>
      <c r="CI179" s="15"/>
      <c r="CJ179" s="15">
        <f t="shared" si="822"/>
        <v>35400</v>
      </c>
      <c r="CM179" s="15">
        <f t="shared" si="823"/>
        <v>35400</v>
      </c>
      <c r="CP179" s="15">
        <f t="shared" si="824"/>
        <v>35400</v>
      </c>
      <c r="CS179" s="15">
        <f t="shared" si="825"/>
        <v>35400</v>
      </c>
      <c r="CV179" s="15">
        <f t="shared" si="826"/>
        <v>35400</v>
      </c>
      <c r="CY179" s="15">
        <f t="shared" si="827"/>
        <v>35400</v>
      </c>
      <c r="DA179" s="15">
        <v>35392.5</v>
      </c>
      <c r="DE179" s="15"/>
      <c r="DF179" s="15"/>
      <c r="DH179" s="15"/>
      <c r="DI179" s="15"/>
      <c r="DK179" s="15"/>
      <c r="DL179" s="15"/>
      <c r="DN179" s="15"/>
      <c r="DO179" s="15"/>
      <c r="DQ179" s="15"/>
      <c r="DR179" s="15"/>
      <c r="DT179" s="15"/>
      <c r="DU179" s="15"/>
      <c r="DW179" s="15"/>
      <c r="DX179" s="15"/>
      <c r="DZ179" s="15"/>
      <c r="EA179" s="15"/>
      <c r="EC179" s="15"/>
      <c r="ED179" s="15"/>
      <c r="EF179" s="15"/>
      <c r="EG179" s="15"/>
      <c r="EI179" s="15">
        <v>0</v>
      </c>
      <c r="EK179" s="15">
        <v>0</v>
      </c>
      <c r="EM179" s="15"/>
      <c r="EN179" s="15"/>
      <c r="EP179" s="15"/>
      <c r="EQ179" s="15"/>
      <c r="ES179" s="15"/>
      <c r="ET179" s="15"/>
      <c r="EW179" s="15"/>
      <c r="EZ179" s="15"/>
      <c r="FC179" s="15"/>
      <c r="FF179" s="15"/>
      <c r="FI179" s="15"/>
      <c r="FL179" s="15"/>
      <c r="FO179" s="15"/>
      <c r="FR179" s="15"/>
      <c r="FW179" s="235" t="e">
        <f t="shared" si="802"/>
        <v>#DIV/0!</v>
      </c>
    </row>
    <row r="180" spans="1:179" outlineLevel="1">
      <c r="A180" s="1" t="s">
        <v>71</v>
      </c>
      <c r="B180" s="1" t="s">
        <v>197</v>
      </c>
      <c r="C180" s="4" t="s">
        <v>198</v>
      </c>
      <c r="D180" s="43">
        <v>3000</v>
      </c>
      <c r="E180" s="34">
        <v>0</v>
      </c>
      <c r="F180" s="43">
        <v>3000</v>
      </c>
      <c r="G180" s="34">
        <v>0</v>
      </c>
      <c r="H180" s="46">
        <v>0</v>
      </c>
      <c r="I180" s="36">
        <v>0</v>
      </c>
      <c r="J180" s="14"/>
      <c r="K180" t="s">
        <v>332</v>
      </c>
      <c r="L180" s="118">
        <v>3000</v>
      </c>
      <c r="M180" s="17">
        <f t="shared" si="795"/>
        <v>0</v>
      </c>
      <c r="N180" s="17" t="e">
        <f t="shared" si="796"/>
        <v>#DIV/0!</v>
      </c>
      <c r="Q180" s="118">
        <v>4000</v>
      </c>
      <c r="R180" s="15">
        <v>3895</v>
      </c>
      <c r="S180" s="118">
        <v>5700</v>
      </c>
      <c r="T180" s="15">
        <f t="shared" si="803"/>
        <v>1700</v>
      </c>
      <c r="U180" s="16">
        <f t="shared" si="804"/>
        <v>0.42500000000000004</v>
      </c>
      <c r="V180" s="140">
        <v>4000</v>
      </c>
      <c r="W180">
        <v>1000</v>
      </c>
      <c r="Y180" s="118">
        <v>5700</v>
      </c>
      <c r="AA180" s="118">
        <v>5700</v>
      </c>
      <c r="AB180" s="185">
        <f t="shared" si="805"/>
        <v>0</v>
      </c>
      <c r="AC180" s="187">
        <f t="shared" si="850"/>
        <v>0</v>
      </c>
      <c r="AD180" s="187"/>
      <c r="AE180" s="118">
        <v>5700</v>
      </c>
      <c r="AF180" s="182"/>
      <c r="AH180" s="15">
        <v>3895</v>
      </c>
      <c r="AI180" s="17">
        <f t="shared" si="807"/>
        <v>0.68333333333333335</v>
      </c>
      <c r="AK180" s="118">
        <v>5000</v>
      </c>
      <c r="AS180" s="15">
        <f t="shared" si="808"/>
        <v>5000</v>
      </c>
      <c r="AV180" s="15">
        <f t="shared" si="809"/>
        <v>5000</v>
      </c>
      <c r="AX180" s="15"/>
      <c r="AY180" s="15">
        <f t="shared" si="810"/>
        <v>5000</v>
      </c>
      <c r="BB180" s="15">
        <f t="shared" si="811"/>
        <v>5000</v>
      </c>
      <c r="BD180" s="15">
        <v>2000</v>
      </c>
      <c r="BE180" s="15">
        <f t="shared" si="812"/>
        <v>7000</v>
      </c>
      <c r="BG180" s="15">
        <v>-2000</v>
      </c>
      <c r="BH180" s="15">
        <f t="shared" si="813"/>
        <v>5000</v>
      </c>
      <c r="BJ180" s="15">
        <v>4476</v>
      </c>
      <c r="BK180" s="235">
        <f t="shared" si="814"/>
        <v>0.8952</v>
      </c>
      <c r="BM180" s="15">
        <v>5000</v>
      </c>
      <c r="BN180" s="235">
        <f t="shared" si="815"/>
        <v>1.1170688114387846</v>
      </c>
      <c r="BO180" s="235">
        <f t="shared" si="847"/>
        <v>1</v>
      </c>
      <c r="BQ180" s="15"/>
      <c r="BR180" s="15">
        <f t="shared" ref="BR180:BR181" si="851">BM180+BQ180</f>
        <v>5000</v>
      </c>
      <c r="BT180" s="15"/>
      <c r="BU180" s="15">
        <f t="shared" si="817"/>
        <v>5000</v>
      </c>
      <c r="BW180" s="15"/>
      <c r="BX180" s="15">
        <f t="shared" si="818"/>
        <v>5000</v>
      </c>
      <c r="BZ180" s="15"/>
      <c r="CA180" s="15">
        <f t="shared" si="819"/>
        <v>5000</v>
      </c>
      <c r="CC180" s="15"/>
      <c r="CD180" s="15">
        <f t="shared" si="820"/>
        <v>5000</v>
      </c>
      <c r="CF180" s="15">
        <v>5000</v>
      </c>
      <c r="CG180" s="15">
        <f t="shared" si="821"/>
        <v>10000</v>
      </c>
      <c r="CI180" s="15"/>
      <c r="CJ180" s="15">
        <f t="shared" si="822"/>
        <v>10000</v>
      </c>
      <c r="CM180" s="15">
        <f t="shared" si="823"/>
        <v>10000</v>
      </c>
      <c r="CP180" s="15">
        <f t="shared" si="824"/>
        <v>10000</v>
      </c>
      <c r="CS180" s="15">
        <f t="shared" si="825"/>
        <v>10000</v>
      </c>
      <c r="CV180" s="15">
        <f t="shared" si="826"/>
        <v>10000</v>
      </c>
      <c r="CY180" s="15">
        <f t="shared" si="827"/>
        <v>10000</v>
      </c>
      <c r="DA180" s="15">
        <v>9054</v>
      </c>
      <c r="DC180" s="15">
        <v>5000</v>
      </c>
      <c r="DE180" s="15"/>
      <c r="DF180" s="15">
        <f t="shared" ref="DF180:DF183" si="852">DC180+DE180</f>
        <v>5000</v>
      </c>
      <c r="DH180" s="15"/>
      <c r="DI180" s="15">
        <f t="shared" ref="DI180:DI181" si="853">DF180+DH180</f>
        <v>5000</v>
      </c>
      <c r="DK180" s="15"/>
      <c r="DL180" s="15">
        <f t="shared" ref="DL180:DL181" si="854">DI180+DK180</f>
        <v>5000</v>
      </c>
      <c r="DN180" s="15"/>
      <c r="DO180" s="15">
        <f t="shared" ref="DO180:DO181" si="855">DL180+DN180</f>
        <v>5000</v>
      </c>
      <c r="DQ180" s="15"/>
      <c r="DR180" s="15">
        <f t="shared" ref="DR180:DR181" si="856">DO180+DQ180</f>
        <v>5000</v>
      </c>
      <c r="DT180" s="15"/>
      <c r="DU180" s="15">
        <f t="shared" ref="DU180:DU181" si="857">DR180+DT180</f>
        <v>5000</v>
      </c>
      <c r="DW180" s="15"/>
      <c r="DX180" s="15">
        <f t="shared" ref="DX180:DX181" si="858">DU180+DW180</f>
        <v>5000</v>
      </c>
      <c r="DZ180" s="15"/>
      <c r="EA180" s="15">
        <f t="shared" ref="EA180:EA181" si="859">DX180+DZ180</f>
        <v>5000</v>
      </c>
      <c r="EC180" s="15"/>
      <c r="ED180" s="15">
        <f t="shared" ref="ED180:ED181" si="860">EA180+EC180</f>
        <v>5000</v>
      </c>
      <c r="EF180" s="227">
        <v>6000</v>
      </c>
      <c r="EG180" s="15">
        <f t="shared" ref="EG180:EG181" si="861">ED180+EF180</f>
        <v>11000</v>
      </c>
      <c r="EI180" s="15">
        <v>10016</v>
      </c>
      <c r="EK180" s="15">
        <v>10000</v>
      </c>
      <c r="EM180" s="227">
        <v>-10000</v>
      </c>
      <c r="EN180" s="15">
        <f t="shared" ref="EN180:EN181" si="862">EK180+EM180</f>
        <v>0</v>
      </c>
      <c r="EP180" s="15"/>
      <c r="EQ180" s="15">
        <f t="shared" ref="EQ180:EQ181" si="863">EN180+EP180</f>
        <v>0</v>
      </c>
      <c r="ES180" s="15"/>
      <c r="ET180" s="15">
        <f t="shared" ref="ET180:ET181" si="864">EQ180+ES180</f>
        <v>0</v>
      </c>
      <c r="EW180" s="15">
        <f t="shared" ref="EW180:EW181" si="865">ET180+EV180</f>
        <v>0</v>
      </c>
      <c r="EZ180" s="15">
        <f t="shared" ref="EZ180:EZ181" si="866">EW180+EY180</f>
        <v>0</v>
      </c>
      <c r="FC180" s="15">
        <f t="shared" ref="FC180:FC181" si="867">EZ180+FB180</f>
        <v>0</v>
      </c>
      <c r="FF180" s="15">
        <f t="shared" ref="FF180:FF181" si="868">FC180+FE180</f>
        <v>0</v>
      </c>
      <c r="FI180" s="15">
        <f t="shared" ref="FI180:FI181" si="869">FF180+FH180</f>
        <v>0</v>
      </c>
      <c r="FL180" s="15">
        <f t="shared" ref="FL180:FL181" si="870">FI180+FK180</f>
        <v>0</v>
      </c>
      <c r="FO180" s="15">
        <f t="shared" ref="FO180:FO181" si="871">FL180+FN180</f>
        <v>0</v>
      </c>
      <c r="FR180" s="15">
        <v>0</v>
      </c>
      <c r="FW180" s="235" t="e">
        <f t="shared" si="802"/>
        <v>#DIV/0!</v>
      </c>
    </row>
    <row r="181" spans="1:179" outlineLevel="1">
      <c r="A181" s="1" t="s">
        <v>71</v>
      </c>
      <c r="B181" s="1" t="s">
        <v>199</v>
      </c>
      <c r="C181" s="4" t="s">
        <v>200</v>
      </c>
      <c r="D181" s="43">
        <v>0</v>
      </c>
      <c r="E181" s="34">
        <v>0</v>
      </c>
      <c r="F181" s="43">
        <v>200000</v>
      </c>
      <c r="G181" s="34">
        <v>96.52</v>
      </c>
      <c r="H181" s="46">
        <v>193048</v>
      </c>
      <c r="I181" s="36">
        <v>193048</v>
      </c>
      <c r="J181" s="14"/>
      <c r="L181" s="118">
        <v>0</v>
      </c>
      <c r="M181" s="17">
        <f t="shared" si="795"/>
        <v>-1</v>
      </c>
      <c r="N181" s="17">
        <f t="shared" si="796"/>
        <v>-1</v>
      </c>
      <c r="Q181" s="118">
        <v>55000</v>
      </c>
      <c r="R181" s="15">
        <v>51375</v>
      </c>
      <c r="S181" s="118">
        <v>51500</v>
      </c>
      <c r="T181" s="15">
        <f t="shared" si="803"/>
        <v>-3500</v>
      </c>
      <c r="U181" s="16">
        <f t="shared" si="804"/>
        <v>-6.3636363636363602E-2</v>
      </c>
      <c r="Y181" s="118">
        <v>51500</v>
      </c>
      <c r="AA181" s="118">
        <v>51400</v>
      </c>
      <c r="AB181" s="185">
        <f t="shared" si="805"/>
        <v>-100</v>
      </c>
      <c r="AC181" s="187">
        <f t="shared" si="850"/>
        <v>-100</v>
      </c>
      <c r="AD181" s="187"/>
      <c r="AE181" s="118">
        <v>51400</v>
      </c>
      <c r="AF181" s="182"/>
      <c r="AH181" s="15">
        <v>51375</v>
      </c>
      <c r="AI181" s="17">
        <f t="shared" si="807"/>
        <v>0.9995136186770428</v>
      </c>
      <c r="AK181" s="183">
        <f>'[3]2020'!$AM$64+'[3]2020'!$AM$60+500</f>
        <v>72000</v>
      </c>
      <c r="AS181" s="15">
        <f t="shared" si="808"/>
        <v>72000</v>
      </c>
      <c r="AV181" s="15">
        <f t="shared" si="809"/>
        <v>72000</v>
      </c>
      <c r="AX181" s="15"/>
      <c r="AY181" s="15">
        <f t="shared" si="810"/>
        <v>72000</v>
      </c>
      <c r="BB181" s="15">
        <f t="shared" si="811"/>
        <v>72000</v>
      </c>
      <c r="BD181" s="15">
        <v>-22000</v>
      </c>
      <c r="BE181" s="15">
        <f t="shared" si="812"/>
        <v>50000</v>
      </c>
      <c r="BG181" s="15">
        <v>-2500</v>
      </c>
      <c r="BH181" s="15">
        <f t="shared" si="813"/>
        <v>47500</v>
      </c>
      <c r="BJ181" s="15">
        <v>47069</v>
      </c>
      <c r="BK181" s="235">
        <f t="shared" si="814"/>
        <v>0.99092631578947366</v>
      </c>
      <c r="BM181" s="290">
        <f>1590000+35400</f>
        <v>1625400</v>
      </c>
      <c r="BN181" s="235">
        <f t="shared" si="815"/>
        <v>34.532282393932313</v>
      </c>
      <c r="BO181" s="235">
        <f t="shared" si="847"/>
        <v>34.218947368421055</v>
      </c>
      <c r="BQ181" s="15"/>
      <c r="BR181" s="15">
        <f t="shared" si="851"/>
        <v>1625400</v>
      </c>
      <c r="BT181" s="15"/>
      <c r="BU181" s="15">
        <f t="shared" si="817"/>
        <v>1625400</v>
      </c>
      <c r="BW181" s="15">
        <v>60000</v>
      </c>
      <c r="BX181" s="15">
        <f t="shared" si="818"/>
        <v>1685400</v>
      </c>
      <c r="BZ181" s="15"/>
      <c r="CA181" s="15">
        <f t="shared" si="819"/>
        <v>1685400</v>
      </c>
      <c r="CC181" s="15"/>
      <c r="CD181" s="15">
        <f t="shared" si="820"/>
        <v>1685400</v>
      </c>
      <c r="CF181" s="15">
        <v>-954000</v>
      </c>
      <c r="CG181" s="15">
        <f t="shared" si="821"/>
        <v>731400</v>
      </c>
      <c r="CI181" s="227">
        <v>-500</v>
      </c>
      <c r="CJ181" s="15">
        <f t="shared" si="822"/>
        <v>730900</v>
      </c>
      <c r="CM181" s="15">
        <f t="shared" si="823"/>
        <v>730900</v>
      </c>
      <c r="CP181" s="15">
        <f t="shared" si="824"/>
        <v>730900</v>
      </c>
      <c r="CS181" s="15">
        <f t="shared" si="825"/>
        <v>730900</v>
      </c>
      <c r="CU181" s="227">
        <v>119100</v>
      </c>
      <c r="CV181" s="15">
        <f t="shared" si="826"/>
        <v>850000</v>
      </c>
      <c r="CX181" s="227"/>
      <c r="CY181" s="15">
        <f t="shared" si="827"/>
        <v>850000</v>
      </c>
      <c r="DA181" s="15">
        <v>850540</v>
      </c>
      <c r="DC181" s="15">
        <v>61700</v>
      </c>
      <c r="DE181" s="15"/>
      <c r="DF181" s="15">
        <f t="shared" si="852"/>
        <v>61700</v>
      </c>
      <c r="DH181" s="15"/>
      <c r="DI181" s="15">
        <f t="shared" si="853"/>
        <v>61700</v>
      </c>
      <c r="DK181" s="15"/>
      <c r="DL181" s="15">
        <f t="shared" si="854"/>
        <v>61700</v>
      </c>
      <c r="DN181" s="15"/>
      <c r="DO181" s="15">
        <f t="shared" si="855"/>
        <v>61700</v>
      </c>
      <c r="DQ181" s="227">
        <v>63900</v>
      </c>
      <c r="DR181" s="15">
        <f t="shared" si="856"/>
        <v>125600</v>
      </c>
      <c r="DT181" s="15"/>
      <c r="DU181" s="15">
        <f t="shared" si="857"/>
        <v>125600</v>
      </c>
      <c r="DW181" s="15"/>
      <c r="DX181" s="15">
        <f t="shared" si="858"/>
        <v>125600</v>
      </c>
      <c r="DZ181" s="15"/>
      <c r="EA181" s="15">
        <f t="shared" si="859"/>
        <v>125600</v>
      </c>
      <c r="EC181" s="15"/>
      <c r="ED181" s="15">
        <f t="shared" si="860"/>
        <v>125600</v>
      </c>
      <c r="EF181" s="15"/>
      <c r="EG181" s="15">
        <f t="shared" si="861"/>
        <v>125600</v>
      </c>
      <c r="EI181" s="15">
        <v>125530</v>
      </c>
      <c r="EK181" s="15">
        <v>423500</v>
      </c>
      <c r="EM181" s="15"/>
      <c r="EN181" s="15">
        <f t="shared" si="862"/>
        <v>423500</v>
      </c>
      <c r="EP181" s="15"/>
      <c r="EQ181" s="15">
        <f t="shared" si="863"/>
        <v>423500</v>
      </c>
      <c r="ES181" s="15"/>
      <c r="ET181" s="15">
        <f t="shared" si="864"/>
        <v>423500</v>
      </c>
      <c r="EW181" s="15">
        <f t="shared" si="865"/>
        <v>423500</v>
      </c>
      <c r="EZ181" s="15">
        <f t="shared" si="866"/>
        <v>423500</v>
      </c>
      <c r="FC181" s="15">
        <f t="shared" si="867"/>
        <v>423500</v>
      </c>
      <c r="FF181" s="15">
        <f t="shared" si="868"/>
        <v>423500</v>
      </c>
      <c r="FI181" s="15">
        <f t="shared" si="869"/>
        <v>423500</v>
      </c>
      <c r="FL181" s="15">
        <f t="shared" si="870"/>
        <v>423500</v>
      </c>
      <c r="FO181" s="15">
        <f t="shared" si="871"/>
        <v>423500</v>
      </c>
      <c r="FR181" s="15">
        <v>423500</v>
      </c>
      <c r="FT181" s="15">
        <v>423500</v>
      </c>
      <c r="FV181" s="15">
        <v>0</v>
      </c>
      <c r="FW181" s="235">
        <f t="shared" si="802"/>
        <v>0</v>
      </c>
    </row>
    <row r="182" spans="1:179" outlineLevel="1">
      <c r="A182" s="1" t="s">
        <v>71</v>
      </c>
      <c r="B182" s="1" t="s">
        <v>210</v>
      </c>
      <c r="C182" s="4" t="s">
        <v>211</v>
      </c>
      <c r="D182" s="43"/>
      <c r="E182" s="34"/>
      <c r="F182" s="43"/>
      <c r="G182" s="34"/>
      <c r="H182" s="46"/>
      <c r="I182" s="36"/>
      <c r="J182" s="14"/>
      <c r="M182" s="17"/>
      <c r="N182" s="17"/>
      <c r="U182" s="16"/>
      <c r="Y182" s="118"/>
      <c r="AB182" s="185"/>
      <c r="AC182" s="187"/>
      <c r="AD182" s="187"/>
      <c r="AF182" s="182"/>
      <c r="AH182" s="15"/>
      <c r="AI182" s="17"/>
      <c r="AK182" s="183"/>
      <c r="AS182" s="15"/>
      <c r="AV182" s="15"/>
      <c r="AX182" s="15"/>
      <c r="AY182" s="15"/>
      <c r="BB182" s="15"/>
      <c r="BD182" s="15"/>
      <c r="BE182" s="15"/>
      <c r="BG182" s="15"/>
      <c r="BH182" s="15"/>
      <c r="BK182" s="235"/>
      <c r="BM182" s="290"/>
      <c r="BN182" s="235"/>
      <c r="BO182" s="235"/>
      <c r="BQ182" s="15"/>
      <c r="BR182" s="15"/>
      <c r="BT182" s="15"/>
      <c r="BU182" s="15"/>
      <c r="BW182" s="15"/>
      <c r="BX182" s="15"/>
      <c r="BZ182" s="15"/>
      <c r="CA182" s="15"/>
      <c r="CC182" s="15"/>
      <c r="CD182" s="15"/>
      <c r="CF182" s="15">
        <v>954000</v>
      </c>
      <c r="CG182" s="15">
        <f t="shared" si="821"/>
        <v>954000</v>
      </c>
      <c r="CH182">
        <v>332</v>
      </c>
      <c r="CI182" s="227">
        <v>500</v>
      </c>
      <c r="CJ182" s="15">
        <f t="shared" si="822"/>
        <v>954500</v>
      </c>
      <c r="CL182" s="15">
        <v>1000</v>
      </c>
      <c r="CM182" s="15">
        <f t="shared" si="823"/>
        <v>955500</v>
      </c>
      <c r="CP182" s="15">
        <f t="shared" si="824"/>
        <v>955500</v>
      </c>
      <c r="CS182" s="15">
        <f t="shared" si="825"/>
        <v>955500</v>
      </c>
      <c r="CV182" s="15">
        <f t="shared" si="826"/>
        <v>955500</v>
      </c>
      <c r="CY182" s="15">
        <f t="shared" si="827"/>
        <v>955500</v>
      </c>
      <c r="DA182" s="15">
        <v>954332</v>
      </c>
      <c r="DC182" s="15">
        <v>0</v>
      </c>
      <c r="DE182" s="15"/>
      <c r="DF182" s="15"/>
      <c r="DH182" s="15"/>
      <c r="DI182" s="15"/>
      <c r="DK182" s="15"/>
      <c r="DL182" s="15"/>
      <c r="DN182" s="15"/>
      <c r="DO182" s="15"/>
      <c r="DQ182" s="15"/>
      <c r="DR182" s="15"/>
      <c r="DT182" s="15"/>
      <c r="DU182" s="15"/>
      <c r="DW182" s="15"/>
      <c r="DX182" s="15"/>
      <c r="DZ182" s="15"/>
      <c r="EA182" s="15"/>
      <c r="EC182" s="15"/>
      <c r="ED182" s="15"/>
      <c r="EF182" s="15"/>
      <c r="EG182" s="15"/>
      <c r="EI182" s="15">
        <v>0</v>
      </c>
      <c r="EK182" s="15">
        <v>0</v>
      </c>
      <c r="EM182" s="15"/>
      <c r="EN182" s="15"/>
      <c r="EP182" s="15"/>
      <c r="EQ182" s="15"/>
      <c r="ES182" s="15"/>
      <c r="ET182" s="15"/>
      <c r="EW182" s="15"/>
      <c r="EZ182" s="15"/>
      <c r="FC182" s="15"/>
      <c r="FF182" s="15"/>
      <c r="FI182" s="15"/>
      <c r="FL182" s="15"/>
      <c r="FO182" s="15"/>
      <c r="FR182" s="15"/>
    </row>
    <row r="183" spans="1:179" outlineLevel="1">
      <c r="A183" s="1" t="s">
        <v>71</v>
      </c>
      <c r="B183" s="1" t="s">
        <v>563</v>
      </c>
      <c r="C183" s="4" t="s">
        <v>564</v>
      </c>
      <c r="D183" s="43"/>
      <c r="E183" s="34"/>
      <c r="F183" s="43"/>
      <c r="G183" s="34"/>
      <c r="H183" s="46"/>
      <c r="I183" s="36"/>
      <c r="J183" s="14"/>
      <c r="M183" s="17"/>
      <c r="N183" s="17"/>
      <c r="U183" s="16"/>
      <c r="Y183" s="118"/>
      <c r="AB183" s="185"/>
      <c r="AC183" s="187"/>
      <c r="AD183" s="187"/>
      <c r="AF183" s="182"/>
      <c r="AH183" s="15"/>
      <c r="AI183" s="17"/>
      <c r="AK183" s="183"/>
      <c r="AS183" s="15"/>
      <c r="AV183" s="15"/>
      <c r="AX183" s="15"/>
      <c r="AY183" s="15"/>
      <c r="BB183" s="15"/>
      <c r="BD183" s="15"/>
      <c r="BE183" s="15"/>
      <c r="BG183" s="15"/>
      <c r="BH183" s="15"/>
      <c r="BK183" s="235"/>
      <c r="BM183" s="290"/>
      <c r="BN183" s="235"/>
      <c r="BO183" s="235"/>
      <c r="BQ183" s="15"/>
      <c r="BR183" s="15"/>
      <c r="BT183" s="15"/>
      <c r="BU183" s="15"/>
      <c r="BW183" s="15"/>
      <c r="BX183" s="15"/>
      <c r="BZ183" s="15"/>
      <c r="CA183" s="15"/>
      <c r="CC183" s="15"/>
      <c r="CD183" s="15"/>
      <c r="CF183" s="15"/>
      <c r="CG183" s="15"/>
      <c r="CI183" s="227"/>
      <c r="CJ183" s="15"/>
      <c r="CM183" s="15"/>
      <c r="CP183" s="15"/>
      <c r="CR183" s="227">
        <v>242000</v>
      </c>
      <c r="CS183" s="15">
        <f t="shared" si="825"/>
        <v>242000</v>
      </c>
      <c r="CV183" s="15">
        <f t="shared" si="826"/>
        <v>242000</v>
      </c>
      <c r="CY183" s="15">
        <f t="shared" si="827"/>
        <v>242000</v>
      </c>
      <c r="DA183" s="15">
        <v>241650</v>
      </c>
      <c r="DC183" s="15">
        <v>100000</v>
      </c>
      <c r="DE183" s="15"/>
      <c r="DF183" s="15">
        <f t="shared" si="852"/>
        <v>100000</v>
      </c>
      <c r="DH183" s="15"/>
      <c r="DI183" s="15">
        <f t="shared" ref="DI183" si="872">DF183+DH183</f>
        <v>100000</v>
      </c>
      <c r="DK183" s="15"/>
      <c r="DL183" s="15">
        <f t="shared" ref="DL183" si="873">DI183+DK183</f>
        <v>100000</v>
      </c>
      <c r="DN183" s="15"/>
      <c r="DO183" s="15">
        <f t="shared" ref="DO183" si="874">DL183+DN183</f>
        <v>100000</v>
      </c>
      <c r="DQ183" s="15"/>
      <c r="DR183" s="15">
        <f t="shared" ref="DR183" si="875">DO183+DQ183</f>
        <v>100000</v>
      </c>
      <c r="DT183" s="15"/>
      <c r="DU183" s="15">
        <f t="shared" ref="DU183" si="876">DR183+DT183</f>
        <v>100000</v>
      </c>
      <c r="DW183" s="15"/>
      <c r="DX183" s="15">
        <f t="shared" ref="DX183" si="877">DU183+DW183</f>
        <v>100000</v>
      </c>
      <c r="DZ183" s="15"/>
      <c r="EA183" s="15">
        <f t="shared" ref="EA183" si="878">DX183+DZ183</f>
        <v>100000</v>
      </c>
      <c r="EC183" s="227">
        <v>-100000</v>
      </c>
      <c r="ED183" s="15">
        <f t="shared" ref="ED183" si="879">EA183+EC183</f>
        <v>0</v>
      </c>
      <c r="EF183" s="15"/>
      <c r="EG183" s="15">
        <f t="shared" ref="EG183" si="880">ED183+EF183</f>
        <v>0</v>
      </c>
      <c r="EI183" s="15">
        <v>0</v>
      </c>
      <c r="EK183" s="15">
        <v>0</v>
      </c>
      <c r="EM183" s="15"/>
      <c r="EN183" s="15">
        <f t="shared" ref="EN183" si="881">EK183+EM183</f>
        <v>0</v>
      </c>
      <c r="EP183" s="15"/>
      <c r="EQ183" s="15">
        <f t="shared" ref="EQ183" si="882">EN183+EP183</f>
        <v>0</v>
      </c>
      <c r="ES183" s="15"/>
      <c r="ET183" s="15">
        <f t="shared" ref="ET183" si="883">EQ183+ES183</f>
        <v>0</v>
      </c>
      <c r="EW183" s="15">
        <f t="shared" ref="EW183" si="884">ET183+EV183</f>
        <v>0</v>
      </c>
      <c r="EZ183" s="15">
        <f t="shared" ref="EZ183" si="885">EW183+EY183</f>
        <v>0</v>
      </c>
      <c r="FC183" s="15">
        <f t="shared" ref="FC183" si="886">EZ183+FB183</f>
        <v>0</v>
      </c>
      <c r="FF183" s="15">
        <f t="shared" ref="FF183" si="887">FC183+FE183</f>
        <v>0</v>
      </c>
      <c r="FI183" s="15">
        <f t="shared" ref="FI183" si="888">FF183+FH183</f>
        <v>0</v>
      </c>
      <c r="FL183" s="15">
        <f t="shared" ref="FL183" si="889">FI183+FK183</f>
        <v>0</v>
      </c>
      <c r="FO183" s="15">
        <f t="shared" ref="FO183" si="890">FL183+FN183</f>
        <v>0</v>
      </c>
      <c r="FR183" s="15">
        <v>0</v>
      </c>
    </row>
    <row r="184" spans="1:179" outlineLevel="1">
      <c r="A184" s="1" t="s">
        <v>71</v>
      </c>
      <c r="B184" s="4" t="s">
        <v>46</v>
      </c>
      <c r="C184" s="4" t="s">
        <v>73</v>
      </c>
      <c r="D184" s="43">
        <v>789200</v>
      </c>
      <c r="E184" s="34">
        <v>89.68</v>
      </c>
      <c r="F184" s="43">
        <v>999285</v>
      </c>
      <c r="G184" s="34">
        <v>70.83</v>
      </c>
      <c r="H184" s="46">
        <v>707780.43</v>
      </c>
      <c r="I184" s="36"/>
      <c r="J184" s="14"/>
      <c r="Y184" s="118"/>
      <c r="AF184" s="182"/>
      <c r="AH184" s="15"/>
      <c r="AX184" s="15"/>
      <c r="BD184" s="15"/>
      <c r="BG184" s="15"/>
      <c r="DE184" s="15"/>
      <c r="DH184" s="15"/>
      <c r="DK184" s="15"/>
      <c r="DN184" s="15"/>
      <c r="DQ184" s="15"/>
      <c r="DT184" s="15"/>
      <c r="DW184" s="15"/>
      <c r="DZ184" s="15"/>
      <c r="EC184" s="15"/>
      <c r="EF184" s="15"/>
      <c r="EK184" s="15"/>
      <c r="EM184" s="15"/>
      <c r="EP184" s="15"/>
      <c r="ES184" s="15"/>
    </row>
    <row r="185" spans="1:179" outlineLevel="1">
      <c r="A185" s="1" t="s">
        <v>74</v>
      </c>
      <c r="B185" s="4" t="s">
        <v>48</v>
      </c>
      <c r="C185" s="4" t="s">
        <v>75</v>
      </c>
      <c r="D185" s="43">
        <v>789200</v>
      </c>
      <c r="E185" s="34">
        <v>89.68</v>
      </c>
      <c r="F185" s="43">
        <v>999285</v>
      </c>
      <c r="G185" s="34">
        <v>70.83</v>
      </c>
      <c r="H185" s="46">
        <v>707780.43</v>
      </c>
      <c r="I185" s="36"/>
      <c r="J185" s="14"/>
      <c r="Y185" s="118"/>
      <c r="AF185" s="182"/>
      <c r="AH185" s="15"/>
      <c r="AX185" s="15"/>
      <c r="BD185" s="15"/>
      <c r="BG185" s="15"/>
      <c r="DE185" s="15"/>
      <c r="DH185" s="15"/>
      <c r="DK185" s="15"/>
      <c r="DN185" s="15"/>
      <c r="DQ185" s="15"/>
      <c r="DT185" s="15"/>
      <c r="DW185" s="15"/>
      <c r="DZ185" s="15"/>
      <c r="EC185" s="15"/>
      <c r="EF185" s="15"/>
      <c r="EK185" s="15"/>
      <c r="EM185" s="15"/>
      <c r="EP185" s="15"/>
      <c r="ES185" s="15"/>
    </row>
    <row r="186" spans="1:179" ht="16.5" customHeight="1" thickBot="1">
      <c r="A186" s="54" t="s">
        <v>71</v>
      </c>
      <c r="B186" s="55" t="s">
        <v>316</v>
      </c>
      <c r="C186" s="283" t="s">
        <v>342</v>
      </c>
      <c r="D186" s="57">
        <f>SUM(D164:D181)</f>
        <v>789200</v>
      </c>
      <c r="E186" s="58"/>
      <c r="F186" s="57">
        <f>SUM(F164:F181)</f>
        <v>999285</v>
      </c>
      <c r="G186" s="58"/>
      <c r="H186" s="57"/>
      <c r="I186" s="57">
        <f>SUM(I164:I181)</f>
        <v>732929.8</v>
      </c>
      <c r="J186" s="138" t="e">
        <f>I186/$I$332</f>
        <v>#REF!</v>
      </c>
      <c r="K186" s="60"/>
      <c r="L186" s="122">
        <f>SUM(L164:L180)</f>
        <v>872000</v>
      </c>
      <c r="M186" s="61">
        <f t="shared" ref="M186:M220" si="891">L186/F186-1</f>
        <v>-0.12737607389283334</v>
      </c>
      <c r="N186" s="61">
        <f t="shared" ref="N186:N220" si="892">L186/I186-1</f>
        <v>0.18974559364348398</v>
      </c>
      <c r="O186" s="17">
        <f>L186/$L$332</f>
        <v>0.20232018937021234</v>
      </c>
      <c r="P186" s="17"/>
      <c r="Q186" s="122">
        <f>SUM(Q164:Q180)</f>
        <v>812280</v>
      </c>
      <c r="R186" s="122">
        <f>SUM(R164:R181)</f>
        <v>328179</v>
      </c>
      <c r="S186" s="122">
        <f>SUM(S164:S180)</f>
        <v>576500</v>
      </c>
      <c r="T186" s="122">
        <f>SUM(T164:T181)</f>
        <v>-239280</v>
      </c>
      <c r="U186" s="155">
        <f>S186/Q186-1</f>
        <v>-0.2902693652435121</v>
      </c>
      <c r="Y186" s="122">
        <f>SUM(Y164:Y180)</f>
        <v>576500</v>
      </c>
      <c r="AA186" s="122">
        <f>SUM(AA164:AA180)</f>
        <v>668500</v>
      </c>
      <c r="AB186" s="122">
        <f>SUM(AB164:AB180)</f>
        <v>92000</v>
      </c>
      <c r="AE186" s="122">
        <f>SUM(AE164:AE180)</f>
        <v>671600</v>
      </c>
      <c r="AF186" s="182"/>
      <c r="AH186" s="122">
        <f>SUM(AH164:AH180)</f>
        <v>622913.98</v>
      </c>
      <c r="AI186" s="17">
        <f t="shared" ref="AI186:AI188" si="893">AH186/AE186</f>
        <v>0.92750741512805235</v>
      </c>
      <c r="AK186" s="122">
        <f>SUM(AK164:AK180)</f>
        <v>688600</v>
      </c>
      <c r="AL186" s="193">
        <f t="shared" ref="AL186:AL188" si="894">AK186/L186</f>
        <v>0.78967889908256883</v>
      </c>
      <c r="AM186" s="17">
        <f t="shared" ref="AM186:AM188" si="895">AK186/AE186</f>
        <v>1.025312686122692</v>
      </c>
      <c r="AN186" s="17">
        <f t="shared" ref="AN186:AN188" si="896">AK186/AH186</f>
        <v>1.1054495839056302</v>
      </c>
      <c r="AS186" s="122">
        <f>SUM(AS164:AS180)</f>
        <v>688600</v>
      </c>
      <c r="AU186" s="122">
        <f>SUM(AU164:AU180)</f>
        <v>0</v>
      </c>
      <c r="AV186" s="122">
        <f>SUM(AV164:AV180)</f>
        <v>688600</v>
      </c>
      <c r="AX186" s="122">
        <f>SUM(AX164:AX180)</f>
        <v>0</v>
      </c>
      <c r="AY186" s="122">
        <f>SUM(AY164:AY180)</f>
        <v>688600</v>
      </c>
      <c r="BA186" s="122">
        <f>SUM(BA164:BA180)</f>
        <v>-2000</v>
      </c>
      <c r="BB186" s="122">
        <f>SUM(BB164:BB180)</f>
        <v>686600</v>
      </c>
      <c r="BD186" s="122">
        <f>SUM(BD164:BD180)</f>
        <v>157500</v>
      </c>
      <c r="BE186" s="122">
        <f>SUM(BE164:BE180)</f>
        <v>844100</v>
      </c>
      <c r="BG186" s="122">
        <f>SUM(BG164:BG180)</f>
        <v>-3000</v>
      </c>
      <c r="BH186" s="122">
        <f>SUM(BH164:BH180)</f>
        <v>841100</v>
      </c>
      <c r="BJ186" s="122">
        <f>SUM(BJ164:BJ180)</f>
        <v>779121.03</v>
      </c>
      <c r="BK186" s="236">
        <f t="shared" ref="BK186:BK188" si="897">BJ186/BH186</f>
        <v>0.92631200808465108</v>
      </c>
      <c r="BM186" s="122">
        <f>SUM(BM164:BM180)</f>
        <v>789650</v>
      </c>
      <c r="BN186" s="236">
        <f t="shared" ref="BN186:BN188" si="898">BM186/BJ186</f>
        <v>1.0135139081023137</v>
      </c>
      <c r="BO186" s="236">
        <f t="shared" ref="BO186:BO188" si="899">BM186/BH186</f>
        <v>0.93883010343597673</v>
      </c>
      <c r="BQ186" s="122">
        <f>SUM(BQ164:BQ180)</f>
        <v>35400</v>
      </c>
      <c r="BR186" s="122">
        <f>SUM(BR164:BR180)</f>
        <v>825050</v>
      </c>
      <c r="BT186" s="122">
        <f>SUM(BT164:BT180)</f>
        <v>0</v>
      </c>
      <c r="BU186" s="122">
        <f>SUM(BU164:BU180)</f>
        <v>825050</v>
      </c>
      <c r="BW186" s="122">
        <f>SUM(BW164:BW180)</f>
        <v>0</v>
      </c>
      <c r="BX186" s="122">
        <f>SUM(BX164:BX180)</f>
        <v>825050</v>
      </c>
      <c r="BZ186" s="122">
        <f>SUM(BZ164:BZ180)</f>
        <v>0</v>
      </c>
      <c r="CA186" s="122">
        <f>SUM(CA164:CA180)</f>
        <v>825050</v>
      </c>
      <c r="CC186" s="122">
        <f>SUM(CC164:CC180)</f>
        <v>241888.89</v>
      </c>
      <c r="CD186" s="122">
        <f>SUM(CD164:CD180)</f>
        <v>1066938.8900000001</v>
      </c>
      <c r="CF186" s="122">
        <f>SUM(CF164:CF180)</f>
        <v>45000</v>
      </c>
      <c r="CG186" s="122">
        <f>SUM(CG164:CG180)</f>
        <v>1111938.8900000001</v>
      </c>
      <c r="CI186" s="122">
        <f>SUM(CI164:CI180)</f>
        <v>-19000</v>
      </c>
      <c r="CJ186" s="122">
        <f>SUM(CJ164:CJ180)</f>
        <v>1092938.8900000001</v>
      </c>
      <c r="CL186" s="319">
        <f>SUM(CL164:CL180)</f>
        <v>34000</v>
      </c>
      <c r="CM186" s="122">
        <f>SUM(CM164:CM180)</f>
        <v>1126938.8900000001</v>
      </c>
      <c r="CO186" s="122">
        <f>SUM(CO164:CO180)</f>
        <v>65500</v>
      </c>
      <c r="CP186" s="122">
        <f>SUM(CP164:CP180)</f>
        <v>1192438.8900000001</v>
      </c>
      <c r="CR186" s="122">
        <f>SUM(CR164:CR180)</f>
        <v>0</v>
      </c>
      <c r="CS186" s="122">
        <f>SUM(CS164:CS180)</f>
        <v>1192438.8900000001</v>
      </c>
      <c r="CU186" s="122">
        <f>SUM(CU164:CU180)</f>
        <v>-235100</v>
      </c>
      <c r="CV186" s="122">
        <f>SUM(CV164:CV180)</f>
        <v>957338.89</v>
      </c>
      <c r="CX186" s="122">
        <f>SUM(CX164:CX180)</f>
        <v>0</v>
      </c>
      <c r="CY186" s="122">
        <f>SUM(CY164:CY180)</f>
        <v>957338.89</v>
      </c>
      <c r="DA186" s="122">
        <f>SUM(DA164:DA180)</f>
        <v>951632.21</v>
      </c>
      <c r="DC186" s="122">
        <f>SUM(DC164:DC180)</f>
        <v>1022848</v>
      </c>
      <c r="DE186" s="122">
        <f>SUM(DE164:DE180)</f>
        <v>0</v>
      </c>
      <c r="DF186" s="122">
        <f>SUM(DF164:DF180)</f>
        <v>1022848</v>
      </c>
      <c r="DH186" s="122">
        <f>SUM(DH164:DH180)</f>
        <v>0</v>
      </c>
      <c r="DI186" s="122">
        <f>SUM(DI164:DI180)</f>
        <v>1022848</v>
      </c>
      <c r="DK186" s="122">
        <f>SUM(DK164:DK180)</f>
        <v>0</v>
      </c>
      <c r="DL186" s="122">
        <f>SUM(DL164:DL180)</f>
        <v>1022848</v>
      </c>
      <c r="DN186" s="122">
        <f>SUM(DN164:DN180)</f>
        <v>0</v>
      </c>
      <c r="DO186" s="122">
        <f>SUM(DO164:DO180)</f>
        <v>1022848</v>
      </c>
      <c r="DQ186" s="122">
        <f>SUM(DQ164:DQ180)</f>
        <v>72000</v>
      </c>
      <c r="DR186" s="122">
        <f>SUM(DR164:DR180)</f>
        <v>1094848</v>
      </c>
      <c r="DT186" s="122">
        <f>SUM(DT164:DT180)</f>
        <v>0</v>
      </c>
      <c r="DU186" s="122">
        <f>SUM(DU164:DU180)</f>
        <v>1094848</v>
      </c>
      <c r="DW186" s="122">
        <f>SUM(DW164:DW180)</f>
        <v>0</v>
      </c>
      <c r="DX186" s="122">
        <f>SUM(DX164:DX180)</f>
        <v>1094848</v>
      </c>
      <c r="DZ186" s="122">
        <f>SUM(DZ164:DZ180)</f>
        <v>0</v>
      </c>
      <c r="EA186" s="122">
        <f>SUM(EA164:EA180)</f>
        <v>1094848</v>
      </c>
      <c r="EC186" s="122">
        <f>SUM(EC164:EC180)</f>
        <v>207700</v>
      </c>
      <c r="ED186" s="122">
        <f>SUM(ED164:ED180)</f>
        <v>1302548</v>
      </c>
      <c r="EF186" s="122">
        <f>SUM(EF164:EF180)</f>
        <v>-51700</v>
      </c>
      <c r="EG186" s="122">
        <f>SUM(EG164:EG180)</f>
        <v>1250848</v>
      </c>
      <c r="EI186" s="122">
        <f>SUM(EI164:EI180)</f>
        <v>1227639.4000000001</v>
      </c>
      <c r="EK186" s="122">
        <f>SUM(EK164:EK180)</f>
        <v>1042000</v>
      </c>
      <c r="EL186" s="377">
        <f>EK186/EI186-1</f>
        <v>-0.15121655430739689</v>
      </c>
      <c r="EM186" s="122">
        <f>SUM(EM164:EM180)</f>
        <v>0</v>
      </c>
      <c r="EN186" s="122">
        <f>SUM(EN164:EN180)</f>
        <v>1042000</v>
      </c>
      <c r="EP186" s="122">
        <f>SUM(EP164:EP180)</f>
        <v>129000</v>
      </c>
      <c r="EQ186" s="122">
        <f>SUM(EQ164:EQ180)</f>
        <v>1171000</v>
      </c>
      <c r="ES186" s="122">
        <f>SUM(ES164:ES180)</f>
        <v>0</v>
      </c>
      <c r="ET186" s="122">
        <f>SUM(ET164:ET180)</f>
        <v>1171000</v>
      </c>
      <c r="EV186" s="122">
        <f>SUM(EV164:EV180)</f>
        <v>-20264</v>
      </c>
      <c r="EW186" s="122">
        <f>SUM(EW164:EW180)</f>
        <v>1150736</v>
      </c>
      <c r="EY186" s="122">
        <f>SUM(EY164:EY180)</f>
        <v>0</v>
      </c>
      <c r="EZ186" s="122">
        <f>SUM(EZ164:EZ180)</f>
        <v>1150736</v>
      </c>
      <c r="FB186" s="122">
        <f>SUM(FB164:FB180)</f>
        <v>-60000</v>
      </c>
      <c r="FC186" s="122">
        <f>SUM(FC164:FC180)</f>
        <v>1090736</v>
      </c>
      <c r="FE186" s="122">
        <f>SUM(FE164:FE180)</f>
        <v>0</v>
      </c>
      <c r="FF186" s="122">
        <f>SUM(FF164:FF180)</f>
        <v>1090736</v>
      </c>
      <c r="FH186" s="122">
        <f>SUM(FH164:FH180)</f>
        <v>0</v>
      </c>
      <c r="FI186" s="122">
        <f>SUM(FI164:FI180)</f>
        <v>1090736</v>
      </c>
      <c r="FK186" s="122">
        <f>SUM(FK164:FK180)</f>
        <v>-4000</v>
      </c>
      <c r="FL186" s="122">
        <f>SUM(FL164:FL180)</f>
        <v>1086736</v>
      </c>
      <c r="FN186" s="122">
        <f>SUM(FN164:FN180)</f>
        <v>3200</v>
      </c>
      <c r="FO186" s="122">
        <f>SUM(FO164:FO180)</f>
        <v>1089936</v>
      </c>
      <c r="FQ186" s="122">
        <v>-2940</v>
      </c>
      <c r="FR186" s="122">
        <v>1086996</v>
      </c>
      <c r="FT186" s="122">
        <f>SUM(FT164:FT180)</f>
        <v>997166.33</v>
      </c>
      <c r="FV186" s="122">
        <f>SUM(FV164:FV180)</f>
        <v>1040500</v>
      </c>
      <c r="FW186" s="235">
        <f t="shared" ref="FW186:FW189" si="900">FV186/FT186</f>
        <v>1.0434568122652117</v>
      </c>
    </row>
    <row r="187" spans="1:179" ht="16.5" customHeight="1" thickTop="1" thickBot="1">
      <c r="A187" s="64" t="s">
        <v>71</v>
      </c>
      <c r="B187" s="65" t="s">
        <v>357</v>
      </c>
      <c r="C187" s="284" t="s">
        <v>343</v>
      </c>
      <c r="D187" s="66">
        <f>D177</f>
        <v>40000</v>
      </c>
      <c r="E187" s="67"/>
      <c r="F187" s="66">
        <f>F177</f>
        <v>40000</v>
      </c>
      <c r="G187" s="67"/>
      <c r="H187" s="66"/>
      <c r="I187" s="66">
        <f>I177</f>
        <v>35000</v>
      </c>
      <c r="J187" s="68"/>
      <c r="K187" s="69"/>
      <c r="L187" s="123">
        <f>L177</f>
        <v>38000</v>
      </c>
      <c r="M187" s="70">
        <f t="shared" si="891"/>
        <v>-5.0000000000000044E-2</v>
      </c>
      <c r="N187" s="70">
        <f t="shared" si="892"/>
        <v>8.5714285714285632E-2</v>
      </c>
      <c r="Q187" s="123">
        <f>Q177</f>
        <v>43400</v>
      </c>
      <c r="R187" s="123">
        <f>R177</f>
        <v>43363</v>
      </c>
      <c r="S187" s="123">
        <f>S177</f>
        <v>55000</v>
      </c>
      <c r="T187" s="123">
        <f>T177</f>
        <v>11600</v>
      </c>
      <c r="U187" s="155">
        <f>S187/Q187-1</f>
        <v>0.26728110599078336</v>
      </c>
      <c r="Y187" s="123">
        <f>Y177</f>
        <v>55000</v>
      </c>
      <c r="AA187" s="123">
        <f>AA177</f>
        <v>70000</v>
      </c>
      <c r="AB187" s="123">
        <f>AB177</f>
        <v>15000</v>
      </c>
      <c r="AE187" s="123">
        <f>AE177</f>
        <v>70000</v>
      </c>
      <c r="AF187" s="182"/>
      <c r="AH187" s="123">
        <f>AH177</f>
        <v>62672.5</v>
      </c>
      <c r="AI187" s="17">
        <f t="shared" si="893"/>
        <v>0.8953214285714286</v>
      </c>
      <c r="AK187" s="123">
        <f>AK177</f>
        <v>75000</v>
      </c>
      <c r="AL187" s="193">
        <f t="shared" si="894"/>
        <v>1.9736842105263157</v>
      </c>
      <c r="AM187" s="17">
        <f t="shared" si="895"/>
        <v>1.0714285714285714</v>
      </c>
      <c r="AN187" s="17">
        <f t="shared" si="896"/>
        <v>1.1966971159599504</v>
      </c>
      <c r="AS187" s="123">
        <f>AS177</f>
        <v>75000</v>
      </c>
      <c r="AU187" s="123">
        <f>AU177</f>
        <v>0</v>
      </c>
      <c r="AV187" s="123">
        <f>AV177</f>
        <v>75000</v>
      </c>
      <c r="AX187" s="123">
        <f>AX177</f>
        <v>0</v>
      </c>
      <c r="AY187" s="123">
        <f>AY177</f>
        <v>75000</v>
      </c>
      <c r="BA187" s="123">
        <f>BA177</f>
        <v>0</v>
      </c>
      <c r="BB187" s="123">
        <f>BB177</f>
        <v>75000</v>
      </c>
      <c r="BD187" s="123">
        <f>BD177</f>
        <v>15000</v>
      </c>
      <c r="BE187" s="123">
        <f>BE177</f>
        <v>90000</v>
      </c>
      <c r="BG187" s="123">
        <f>BG177</f>
        <v>0</v>
      </c>
      <c r="BH187" s="123">
        <f>BH177</f>
        <v>90000</v>
      </c>
      <c r="BJ187" s="123">
        <f>BJ177</f>
        <v>89299.44</v>
      </c>
      <c r="BK187" s="236">
        <f t="shared" si="897"/>
        <v>0.99221599999999999</v>
      </c>
      <c r="BM187" s="123">
        <f>BM177</f>
        <v>70000</v>
      </c>
      <c r="BN187" s="236">
        <f t="shared" si="898"/>
        <v>0.78387949577287386</v>
      </c>
      <c r="BO187" s="236">
        <f t="shared" si="899"/>
        <v>0.77777777777777779</v>
      </c>
      <c r="BQ187" s="123">
        <f>BQ177</f>
        <v>0</v>
      </c>
      <c r="BR187" s="123">
        <f>BR177</f>
        <v>70000</v>
      </c>
      <c r="BT187" s="123">
        <f>BT177</f>
        <v>0</v>
      </c>
      <c r="BU187" s="123">
        <f>BU177</f>
        <v>70000</v>
      </c>
      <c r="BW187" s="123">
        <f>BW177</f>
        <v>0</v>
      </c>
      <c r="BX187" s="123">
        <f>BX177</f>
        <v>70000</v>
      </c>
      <c r="BZ187" s="123">
        <f>BZ177</f>
        <v>0</v>
      </c>
      <c r="CA187" s="123">
        <f>CA177</f>
        <v>70000</v>
      </c>
      <c r="CC187" s="123">
        <f>CC177</f>
        <v>0</v>
      </c>
      <c r="CD187" s="123">
        <f>CD177</f>
        <v>70000</v>
      </c>
      <c r="CF187" s="123">
        <f>CF177</f>
        <v>0</v>
      </c>
      <c r="CG187" s="123">
        <f>CG177</f>
        <v>70000</v>
      </c>
      <c r="CI187" s="123">
        <f>CI177</f>
        <v>-22000</v>
      </c>
      <c r="CJ187" s="123">
        <f>CJ177</f>
        <v>48000</v>
      </c>
      <c r="CL187" s="319">
        <f>CL177</f>
        <v>0</v>
      </c>
      <c r="CM187" s="123">
        <f>CM177</f>
        <v>48000</v>
      </c>
      <c r="CO187" s="123">
        <f>CO177</f>
        <v>0</v>
      </c>
      <c r="CP187" s="123">
        <f>CP177</f>
        <v>48000</v>
      </c>
      <c r="CR187" s="123">
        <f>CR177</f>
        <v>0</v>
      </c>
      <c r="CS187" s="123">
        <f>CS177</f>
        <v>48000</v>
      </c>
      <c r="CU187" s="123">
        <f>CU177</f>
        <v>5000</v>
      </c>
      <c r="CV187" s="123">
        <f>CV177</f>
        <v>53000</v>
      </c>
      <c r="CX187" s="123">
        <f>CX177</f>
        <v>0</v>
      </c>
      <c r="CY187" s="123">
        <f>CY177</f>
        <v>53000</v>
      </c>
      <c r="DA187" s="123">
        <f>DA177</f>
        <v>52726</v>
      </c>
      <c r="DC187" s="123">
        <f>DC177</f>
        <v>75048</v>
      </c>
      <c r="DE187" s="123">
        <f>DE177</f>
        <v>0</v>
      </c>
      <c r="DF187" s="123">
        <f>DF177</f>
        <v>75048</v>
      </c>
      <c r="DH187" s="123">
        <f>DH177</f>
        <v>0</v>
      </c>
      <c r="DI187" s="123">
        <f>DI177</f>
        <v>75048</v>
      </c>
      <c r="DK187" s="123">
        <f>DK177</f>
        <v>0</v>
      </c>
      <c r="DL187" s="123">
        <f>DL177</f>
        <v>75048</v>
      </c>
      <c r="DN187" s="123">
        <f>DN177</f>
        <v>0</v>
      </c>
      <c r="DO187" s="123">
        <f>DO177</f>
        <v>75048</v>
      </c>
      <c r="DQ187" s="123">
        <f>DQ177</f>
        <v>0</v>
      </c>
      <c r="DR187" s="123">
        <f>DR177</f>
        <v>75048</v>
      </c>
      <c r="DT187" s="123">
        <f>DT177</f>
        <v>0</v>
      </c>
      <c r="DU187" s="123">
        <f>DU177</f>
        <v>75048</v>
      </c>
      <c r="DW187" s="123">
        <f>DW177</f>
        <v>0</v>
      </c>
      <c r="DX187" s="123">
        <f>DX177</f>
        <v>75048</v>
      </c>
      <c r="DZ187" s="123">
        <f>DZ177</f>
        <v>0</v>
      </c>
      <c r="EA187" s="123">
        <f>EA177</f>
        <v>75048</v>
      </c>
      <c r="EC187" s="123">
        <f>EC177</f>
        <v>0</v>
      </c>
      <c r="ED187" s="123">
        <f>ED177</f>
        <v>75048</v>
      </c>
      <c r="EF187" s="123">
        <f>EF177</f>
        <v>-15000</v>
      </c>
      <c r="EG187" s="123">
        <f>EG177</f>
        <v>60048</v>
      </c>
      <c r="EI187" s="123">
        <f>EI177</f>
        <v>58728.52</v>
      </c>
      <c r="EK187" s="123">
        <f>EK177</f>
        <v>160000</v>
      </c>
      <c r="EL187" s="377">
        <f>EK187/EI187-1</f>
        <v>1.7244003424571233</v>
      </c>
      <c r="EM187" s="123">
        <f>EM177</f>
        <v>0</v>
      </c>
      <c r="EN187" s="123">
        <f>EN177</f>
        <v>160000</v>
      </c>
      <c r="EP187" s="123">
        <f>EP177</f>
        <v>0</v>
      </c>
      <c r="EQ187" s="123">
        <f>EQ177</f>
        <v>160000</v>
      </c>
      <c r="ES187" s="123">
        <f>ES177</f>
        <v>0</v>
      </c>
      <c r="ET187" s="123">
        <f>ET177</f>
        <v>160000</v>
      </c>
      <c r="EV187" s="123">
        <f>EV177</f>
        <v>0</v>
      </c>
      <c r="EW187" s="123">
        <f>EW177</f>
        <v>160000</v>
      </c>
      <c r="EY187" s="123">
        <f>EY177</f>
        <v>0</v>
      </c>
      <c r="EZ187" s="123">
        <f>EZ177</f>
        <v>160000</v>
      </c>
      <c r="FB187" s="123">
        <f>FB177</f>
        <v>-60000</v>
      </c>
      <c r="FC187" s="123">
        <f>FC177</f>
        <v>100000</v>
      </c>
      <c r="FE187" s="123">
        <f>FE177</f>
        <v>0</v>
      </c>
      <c r="FF187" s="123">
        <f>FF177</f>
        <v>100000</v>
      </c>
      <c r="FH187" s="123">
        <f>FH177</f>
        <v>0</v>
      </c>
      <c r="FI187" s="123">
        <f>FI177</f>
        <v>100000</v>
      </c>
      <c r="FK187" s="123">
        <f>FK177</f>
        <v>-30000</v>
      </c>
      <c r="FL187" s="123">
        <f>FL177</f>
        <v>70000</v>
      </c>
      <c r="FN187" s="123">
        <f>FN177</f>
        <v>-12800</v>
      </c>
      <c r="FO187" s="123">
        <f>FO177</f>
        <v>57200</v>
      </c>
      <c r="FQ187" s="123">
        <v>0</v>
      </c>
      <c r="FR187" s="123">
        <v>57200</v>
      </c>
      <c r="FT187" s="123">
        <f>FT177</f>
        <v>42750.59</v>
      </c>
      <c r="FV187" s="123">
        <f>FV177</f>
        <v>50000</v>
      </c>
      <c r="FW187" s="235">
        <f t="shared" si="900"/>
        <v>1.169574501778806</v>
      </c>
    </row>
    <row r="188" spans="1:179" ht="15.75" customHeight="1" thickTop="1" thickBot="1">
      <c r="A188" s="75" t="s">
        <v>71</v>
      </c>
      <c r="B188" s="76" t="s">
        <v>277</v>
      </c>
      <c r="C188" s="285" t="s">
        <v>344</v>
      </c>
      <c r="D188" s="78">
        <f>D181</f>
        <v>0</v>
      </c>
      <c r="E188" s="79"/>
      <c r="F188" s="78">
        <f>F181</f>
        <v>200000</v>
      </c>
      <c r="G188" s="79"/>
      <c r="H188" s="78"/>
      <c r="I188" s="78">
        <f>I181</f>
        <v>193048</v>
      </c>
      <c r="J188" s="80"/>
      <c r="K188" s="77"/>
      <c r="L188" s="124">
        <f>L181</f>
        <v>0</v>
      </c>
      <c r="M188" s="81">
        <f t="shared" si="891"/>
        <v>-1</v>
      </c>
      <c r="N188" s="81">
        <f t="shared" si="892"/>
        <v>-1</v>
      </c>
      <c r="Q188" s="124">
        <f>Q181</f>
        <v>55000</v>
      </c>
      <c r="R188" s="124">
        <f>R181</f>
        <v>51375</v>
      </c>
      <c r="S188" s="124">
        <f>S181</f>
        <v>51500</v>
      </c>
      <c r="T188" s="124">
        <f>T181</f>
        <v>-3500</v>
      </c>
      <c r="U188" s="156">
        <f>S188/Q188-1</f>
        <v>-6.3636363636363602E-2</v>
      </c>
      <c r="Y188" s="124">
        <f>Y181</f>
        <v>51500</v>
      </c>
      <c r="AA188" s="124">
        <f>AA181</f>
        <v>51400</v>
      </c>
      <c r="AB188" s="124">
        <f>AB181</f>
        <v>-100</v>
      </c>
      <c r="AE188" s="124">
        <f>AE181</f>
        <v>51400</v>
      </c>
      <c r="AF188" s="182"/>
      <c r="AH188" s="124">
        <f>AH181</f>
        <v>51375</v>
      </c>
      <c r="AI188" s="17">
        <f t="shared" si="893"/>
        <v>0.9995136186770428</v>
      </c>
      <c r="AK188" s="124">
        <f>AK181</f>
        <v>72000</v>
      </c>
      <c r="AL188" s="193" t="e">
        <f t="shared" si="894"/>
        <v>#DIV/0!</v>
      </c>
      <c r="AM188" s="17">
        <f t="shared" si="895"/>
        <v>1.4007782101167314</v>
      </c>
      <c r="AN188" s="17">
        <f t="shared" si="896"/>
        <v>1.4014598540145986</v>
      </c>
      <c r="AS188" s="124">
        <f>AS181</f>
        <v>72000</v>
      </c>
      <c r="AU188" s="124">
        <f>AU181</f>
        <v>0</v>
      </c>
      <c r="AV188" s="124">
        <f>AV181</f>
        <v>72000</v>
      </c>
      <c r="AX188" s="124">
        <f>AX181</f>
        <v>0</v>
      </c>
      <c r="AY188" s="124">
        <f>AY181</f>
        <v>72000</v>
      </c>
      <c r="BA188" s="124">
        <f>BA181</f>
        <v>0</v>
      </c>
      <c r="BB188" s="124">
        <f>BB181</f>
        <v>72000</v>
      </c>
      <c r="BD188" s="124">
        <f>BD181</f>
        <v>-22000</v>
      </c>
      <c r="BE188" s="124">
        <f>BE181</f>
        <v>50000</v>
      </c>
      <c r="BG188" s="124">
        <f>BG181</f>
        <v>-2500</v>
      </c>
      <c r="BH188" s="124">
        <f>BH181</f>
        <v>47500</v>
      </c>
      <c r="BJ188" s="124">
        <f>BJ181</f>
        <v>47069</v>
      </c>
      <c r="BK188" s="237">
        <f t="shared" si="897"/>
        <v>0.99092631578947366</v>
      </c>
      <c r="BM188" s="124">
        <f>BM181</f>
        <v>1625400</v>
      </c>
      <c r="BN188" s="237">
        <f t="shared" si="898"/>
        <v>34.532282393932313</v>
      </c>
      <c r="BO188" s="237">
        <f t="shared" si="899"/>
        <v>34.218947368421055</v>
      </c>
      <c r="BQ188" s="124">
        <f>BQ181</f>
        <v>0</v>
      </c>
      <c r="BR188" s="124">
        <f>BR181</f>
        <v>1625400</v>
      </c>
      <c r="BT188" s="124">
        <f>BT181</f>
        <v>0</v>
      </c>
      <c r="BU188" s="124">
        <f>BU181</f>
        <v>1625400</v>
      </c>
      <c r="BW188" s="124">
        <f>BW181</f>
        <v>60000</v>
      </c>
      <c r="BX188" s="124">
        <f>BX181</f>
        <v>1685400</v>
      </c>
      <c r="BZ188" s="124">
        <f>BZ181</f>
        <v>0</v>
      </c>
      <c r="CA188" s="124">
        <f>CA181</f>
        <v>1685400</v>
      </c>
      <c r="CC188" s="124">
        <f>CC181</f>
        <v>0</v>
      </c>
      <c r="CD188" s="124">
        <f>CD181</f>
        <v>1685400</v>
      </c>
      <c r="CF188" s="124">
        <f>CF181+CF182</f>
        <v>0</v>
      </c>
      <c r="CG188" s="124">
        <f>CG181+CG182</f>
        <v>1685400</v>
      </c>
      <c r="CI188" s="124">
        <f>CI181+CI182</f>
        <v>0</v>
      </c>
      <c r="CJ188" s="124">
        <f>CJ181+CJ182</f>
        <v>1685400</v>
      </c>
      <c r="CL188" s="319">
        <f>CL181+CL182</f>
        <v>1000</v>
      </c>
      <c r="CM188" s="124">
        <f>CM181+CM182</f>
        <v>1686400</v>
      </c>
      <c r="CO188" s="124">
        <f>CO181+CO182</f>
        <v>0</v>
      </c>
      <c r="CP188" s="124">
        <f>CP181+CP182</f>
        <v>1686400</v>
      </c>
      <c r="CR188" s="124">
        <f>CR181+CR182+CR183</f>
        <v>242000</v>
      </c>
      <c r="CS188" s="124">
        <f>CS181+CS182+CS183</f>
        <v>1928400</v>
      </c>
      <c r="CU188" s="124">
        <f>CU181+CU182+CU183</f>
        <v>119100</v>
      </c>
      <c r="CV188" s="124">
        <f>CV181+CV182+CV183</f>
        <v>2047500</v>
      </c>
      <c r="CX188" s="124">
        <f>CX181+CX182+CX183</f>
        <v>0</v>
      </c>
      <c r="CY188" s="124">
        <f>CY181+CY182+CY183</f>
        <v>2047500</v>
      </c>
      <c r="DA188" s="124">
        <f>DA181+DA182+DA183</f>
        <v>2046522</v>
      </c>
      <c r="DC188" s="124">
        <f>DC181+DC182+DC183</f>
        <v>161700</v>
      </c>
      <c r="DE188" s="124">
        <f>DE181+DE182+DE183</f>
        <v>0</v>
      </c>
      <c r="DF188" s="124">
        <f>DF181+DF182+DF183</f>
        <v>161700</v>
      </c>
      <c r="DH188" s="124">
        <f>DH181+DH182+DH183</f>
        <v>0</v>
      </c>
      <c r="DI188" s="124">
        <f>DI181+DI182+DI183</f>
        <v>161700</v>
      </c>
      <c r="DK188" s="124">
        <f>DK181+DK182+DK183</f>
        <v>0</v>
      </c>
      <c r="DL188" s="124">
        <f>DL181+DL182+DL183</f>
        <v>161700</v>
      </c>
      <c r="DN188" s="124">
        <f>DN181+DN182+DN183</f>
        <v>0</v>
      </c>
      <c r="DO188" s="124">
        <f>DO181+DO182+DO183</f>
        <v>161700</v>
      </c>
      <c r="DQ188" s="124">
        <f>DQ181+DQ182+DQ183</f>
        <v>63900</v>
      </c>
      <c r="DR188" s="124">
        <f>DR181+DR182+DR183</f>
        <v>225600</v>
      </c>
      <c r="DT188" s="124">
        <f>DT181+DT182+DT183</f>
        <v>0</v>
      </c>
      <c r="DU188" s="124">
        <f>DU181+DU182+DU183</f>
        <v>225600</v>
      </c>
      <c r="DW188" s="124">
        <f>DW181+DW182+DW183</f>
        <v>0</v>
      </c>
      <c r="DX188" s="124">
        <f>DX181+DX182+DX183</f>
        <v>225600</v>
      </c>
      <c r="DZ188" s="124">
        <f>DZ181+DZ182+DZ183</f>
        <v>0</v>
      </c>
      <c r="EA188" s="124">
        <f>EA181+EA182+EA183</f>
        <v>225600</v>
      </c>
      <c r="EC188" s="124">
        <f>EC181+EC182+EC183</f>
        <v>-100000</v>
      </c>
      <c r="ED188" s="124">
        <f>ED181+ED182+ED183</f>
        <v>125600</v>
      </c>
      <c r="EF188" s="124">
        <f>EF181+EF182+EF183</f>
        <v>0</v>
      </c>
      <c r="EG188" s="124">
        <f>EG181+EG182+EG183</f>
        <v>125600</v>
      </c>
      <c r="EI188" s="124">
        <f>EI181+EI182+EI183</f>
        <v>125530</v>
      </c>
      <c r="EK188" s="124">
        <f>EK181+EK182+EK183</f>
        <v>423500</v>
      </c>
      <c r="EL188" s="377">
        <f>EK188/EI188-1</f>
        <v>2.3736955309487771</v>
      </c>
      <c r="EM188" s="124">
        <f>EM181+EM182+EM183</f>
        <v>0</v>
      </c>
      <c r="EN188" s="124">
        <f>EN181+EN182+EN183</f>
        <v>423500</v>
      </c>
      <c r="EP188" s="124">
        <f>EP181+EP182+EP183</f>
        <v>0</v>
      </c>
      <c r="EQ188" s="124">
        <f>EQ181+EQ182+EQ183</f>
        <v>423500</v>
      </c>
      <c r="ES188" s="124">
        <f>ES181+ES182+ES183</f>
        <v>0</v>
      </c>
      <c r="ET188" s="124">
        <f>ET181+ET182+ET183</f>
        <v>423500</v>
      </c>
      <c r="EV188" s="124">
        <f>EV181+EV182+EV183</f>
        <v>0</v>
      </c>
      <c r="EW188" s="124">
        <f>EW181+EW182+EW183</f>
        <v>423500</v>
      </c>
      <c r="EY188" s="124">
        <f>EY181+EY182+EY183</f>
        <v>0</v>
      </c>
      <c r="EZ188" s="124">
        <f>EZ181+EZ182+EZ183</f>
        <v>423500</v>
      </c>
      <c r="FB188" s="124">
        <f>FB181+FB182+FB183</f>
        <v>0</v>
      </c>
      <c r="FC188" s="124">
        <f>FC181+FC182+FC183</f>
        <v>423500</v>
      </c>
      <c r="FE188" s="124">
        <f>FE181+FE182+FE183</f>
        <v>0</v>
      </c>
      <c r="FF188" s="124">
        <f>FF181+FF182+FF183</f>
        <v>423500</v>
      </c>
      <c r="FH188" s="124">
        <f>FH181+FH182+FH183</f>
        <v>0</v>
      </c>
      <c r="FI188" s="124">
        <f>FI181+FI182+FI183</f>
        <v>423500</v>
      </c>
      <c r="FK188" s="124">
        <f>FK181+FK182+FK183</f>
        <v>0</v>
      </c>
      <c r="FL188" s="124">
        <f>FL181+FL182+FL183</f>
        <v>423500</v>
      </c>
      <c r="FN188" s="124">
        <f>FN181+FN182+FN183</f>
        <v>0</v>
      </c>
      <c r="FO188" s="124">
        <f>FO181+FO182+FO183</f>
        <v>423500</v>
      </c>
      <c r="FQ188" s="124">
        <v>0</v>
      </c>
      <c r="FR188" s="124">
        <v>423500</v>
      </c>
      <c r="FT188" s="124">
        <f>FT181+FT182+FT183</f>
        <v>423500</v>
      </c>
      <c r="FV188" s="124">
        <f>FV181+FV182+FV183</f>
        <v>0</v>
      </c>
      <c r="FW188" s="235">
        <f t="shared" si="900"/>
        <v>0</v>
      </c>
    </row>
    <row r="189" spans="1:179" ht="15.75" outlineLevel="1" thickTop="1">
      <c r="A189" s="13" t="s">
        <v>397</v>
      </c>
      <c r="B189" s="10" t="s">
        <v>398</v>
      </c>
      <c r="C189" s="4" t="s">
        <v>399</v>
      </c>
      <c r="D189" s="36"/>
      <c r="E189" s="51"/>
      <c r="F189" s="36"/>
      <c r="G189" s="51"/>
      <c r="H189" s="36"/>
      <c r="I189" s="36"/>
      <c r="J189" s="14"/>
      <c r="L189" s="121"/>
      <c r="M189" s="176"/>
      <c r="N189" s="176"/>
      <c r="Q189" s="118">
        <v>30000</v>
      </c>
      <c r="R189" s="15">
        <v>0</v>
      </c>
      <c r="S189" s="118">
        <v>8000</v>
      </c>
      <c r="T189" s="15">
        <f>S189-Q189</f>
        <v>-22000</v>
      </c>
      <c r="U189" s="177">
        <f>S189/Q189-1</f>
        <v>-0.73333333333333339</v>
      </c>
      <c r="V189"/>
      <c r="Y189" s="118">
        <v>5000</v>
      </c>
      <c r="Z189">
        <v>5000</v>
      </c>
      <c r="AA189" s="118">
        <v>0</v>
      </c>
      <c r="AB189" s="185">
        <f t="shared" ref="AB189:AB191" si="901">AA189-Y189</f>
        <v>-5000</v>
      </c>
      <c r="AC189" s="187">
        <f t="shared" ref="AC189:AC191" si="902">AA189-Y189</f>
        <v>-5000</v>
      </c>
      <c r="AD189" s="187"/>
      <c r="AE189" s="118">
        <v>0</v>
      </c>
      <c r="AF189" s="182"/>
      <c r="AH189" s="15"/>
      <c r="AK189" s="118">
        <v>30000</v>
      </c>
      <c r="AP189" s="220">
        <v>-20000</v>
      </c>
      <c r="AS189" s="15">
        <f t="shared" ref="AS189:AS191" si="903">AR189+AK189</f>
        <v>30000</v>
      </c>
      <c r="AV189" s="15">
        <f t="shared" ref="AV189:AV191" si="904">AS189+AU189</f>
        <v>30000</v>
      </c>
      <c r="AX189" s="15"/>
      <c r="AY189" s="15">
        <f t="shared" ref="AY189:AY191" si="905">AV189+AX189</f>
        <v>30000</v>
      </c>
      <c r="BB189" s="15">
        <f t="shared" ref="BB189:BB191" si="906">AY189+BA189</f>
        <v>30000</v>
      </c>
      <c r="BD189" s="15">
        <v>-20000</v>
      </c>
      <c r="BE189" s="15">
        <f t="shared" ref="BE189:BE191" si="907">BB189+BD189</f>
        <v>10000</v>
      </c>
      <c r="BG189" s="15"/>
      <c r="BH189" s="15">
        <f t="shared" ref="BH189:BH191" si="908">BE189+BG189</f>
        <v>10000</v>
      </c>
      <c r="BJ189" s="15">
        <v>0</v>
      </c>
      <c r="BK189" s="235">
        <f t="shared" ref="BK189:BK191" si="909">BJ189/BH189</f>
        <v>0</v>
      </c>
      <c r="BM189" s="15">
        <v>30000</v>
      </c>
      <c r="BN189" s="235" t="e">
        <f t="shared" ref="BN189:BN191" si="910">BM189/BJ189</f>
        <v>#DIV/0!</v>
      </c>
      <c r="BO189" s="235">
        <f>BM189/BH189</f>
        <v>3</v>
      </c>
      <c r="BQ189" s="15">
        <v>-10000</v>
      </c>
      <c r="BR189" s="15">
        <f t="shared" ref="BR189:BR191" si="911">BM189+BQ189</f>
        <v>20000</v>
      </c>
      <c r="BT189" s="15"/>
      <c r="BU189" s="15">
        <f>BR189+BT189</f>
        <v>20000</v>
      </c>
      <c r="BW189" s="15"/>
      <c r="BX189" s="15">
        <f>BU189+BW189</f>
        <v>20000</v>
      </c>
      <c r="BZ189" s="15"/>
      <c r="CA189" s="15">
        <f>BX189+BZ189</f>
        <v>20000</v>
      </c>
      <c r="CC189" s="15"/>
      <c r="CD189" s="15">
        <f>CA189+CC189</f>
        <v>20000</v>
      </c>
      <c r="CF189" s="15"/>
      <c r="CG189" s="15">
        <f>CD189+CF189</f>
        <v>20000</v>
      </c>
      <c r="CI189" s="15"/>
      <c r="CJ189" s="15">
        <f>CG189+CI189</f>
        <v>20000</v>
      </c>
      <c r="CM189" s="15">
        <f>CJ189+CL189</f>
        <v>20000</v>
      </c>
      <c r="CP189" s="15">
        <f>CM189+CO189</f>
        <v>20000</v>
      </c>
      <c r="CS189" s="15">
        <f>CP189+CR189</f>
        <v>20000</v>
      </c>
      <c r="CV189" s="15">
        <f>CS189+CU189</f>
        <v>20000</v>
      </c>
      <c r="CY189" s="15">
        <f>CV189+CX189</f>
        <v>20000</v>
      </c>
      <c r="DA189" s="15">
        <v>0</v>
      </c>
      <c r="DC189" s="15">
        <v>20000</v>
      </c>
      <c r="DE189" s="227">
        <v>-5000</v>
      </c>
      <c r="DF189" s="15">
        <f t="shared" ref="DF189:DF191" si="912">DC189+DE189</f>
        <v>15000</v>
      </c>
      <c r="DH189" s="15"/>
      <c r="DI189" s="15">
        <f t="shared" ref="DI189:DI191" si="913">DF189+DH189</f>
        <v>15000</v>
      </c>
      <c r="DK189" s="15"/>
      <c r="DL189" s="15">
        <f t="shared" ref="DL189:DL191" si="914">DI189+DK189</f>
        <v>15000</v>
      </c>
      <c r="DN189" s="15"/>
      <c r="DO189" s="15">
        <f t="shared" ref="DO189:DO191" si="915">DL189+DN189</f>
        <v>15000</v>
      </c>
      <c r="DQ189" s="15"/>
      <c r="DR189" s="15">
        <f t="shared" ref="DR189:DR191" si="916">DO189+DQ189</f>
        <v>15000</v>
      </c>
      <c r="DT189" s="15"/>
      <c r="DU189" s="15">
        <f t="shared" ref="DU189:DU191" si="917">DR189+DT189</f>
        <v>15000</v>
      </c>
      <c r="DW189" s="15"/>
      <c r="DX189" s="15">
        <f t="shared" ref="DX189:DX191" si="918">DU189+DW189</f>
        <v>15000</v>
      </c>
      <c r="DZ189" s="15"/>
      <c r="EA189" s="15">
        <f t="shared" ref="EA189:EA191" si="919">DX189+DZ189</f>
        <v>15000</v>
      </c>
      <c r="EC189" s="227">
        <v>-10000</v>
      </c>
      <c r="ED189" s="15">
        <f t="shared" ref="ED189:ED191" si="920">EA189+EC189</f>
        <v>5000</v>
      </c>
      <c r="EF189" s="227">
        <v>15000</v>
      </c>
      <c r="EG189" s="15">
        <f t="shared" ref="EG189:EG191" si="921">ED189+EF189</f>
        <v>20000</v>
      </c>
      <c r="EI189" s="15">
        <v>0</v>
      </c>
      <c r="EK189" s="15">
        <v>20000</v>
      </c>
      <c r="EM189" s="15"/>
      <c r="EN189" s="15">
        <f t="shared" ref="EN189:EN191" si="922">EK189+EM189</f>
        <v>20000</v>
      </c>
      <c r="EP189" s="15"/>
      <c r="EQ189" s="15">
        <f t="shared" ref="EQ189:EQ191" si="923">EN189+EP189</f>
        <v>20000</v>
      </c>
      <c r="ES189" s="15"/>
      <c r="ET189" s="15">
        <f t="shared" ref="ET189:ET191" si="924">EQ189+ES189</f>
        <v>20000</v>
      </c>
      <c r="EW189" s="15">
        <f t="shared" ref="EW189:EW191" si="925">ET189+EV189</f>
        <v>20000</v>
      </c>
      <c r="EZ189" s="15">
        <f t="shared" ref="EZ189:EZ191" si="926">EW189+EY189</f>
        <v>20000</v>
      </c>
      <c r="FC189" s="15">
        <f t="shared" ref="FC189:FC191" si="927">EZ189+FB189</f>
        <v>20000</v>
      </c>
      <c r="FF189" s="15">
        <f t="shared" ref="FF189:FF191" si="928">FC189+FE189</f>
        <v>20000</v>
      </c>
      <c r="FI189" s="15">
        <f t="shared" ref="FI189:FI191" si="929">FF189+FH189</f>
        <v>20000</v>
      </c>
      <c r="FL189" s="15">
        <f t="shared" ref="FL189:FL191" si="930">FI189+FK189</f>
        <v>20000</v>
      </c>
      <c r="FN189" s="227">
        <v>-15000</v>
      </c>
      <c r="FO189" s="15">
        <f t="shared" ref="FO189:FO191" si="931">FL189+FN189</f>
        <v>5000</v>
      </c>
      <c r="FR189" s="15">
        <v>5000</v>
      </c>
      <c r="FT189" s="15">
        <v>0</v>
      </c>
      <c r="FV189" s="15">
        <v>20000</v>
      </c>
      <c r="FW189" s="235" t="e">
        <f t="shared" si="900"/>
        <v>#DIV/0!</v>
      </c>
    </row>
    <row r="190" spans="1:179" outlineLevel="1">
      <c r="A190" s="178" t="s">
        <v>392</v>
      </c>
      <c r="B190" s="179" t="s">
        <v>189</v>
      </c>
      <c r="C190" s="180" t="s">
        <v>190</v>
      </c>
      <c r="D190" s="36"/>
      <c r="E190" s="51"/>
      <c r="F190" s="36"/>
      <c r="G190" s="51"/>
      <c r="H190" s="36"/>
      <c r="I190" s="36"/>
      <c r="J190" s="14"/>
      <c r="L190" s="121"/>
      <c r="M190" s="176"/>
      <c r="N190" s="176"/>
      <c r="S190" s="118">
        <v>5000</v>
      </c>
      <c r="U190" s="177"/>
      <c r="V190"/>
      <c r="Y190" s="118">
        <v>8000</v>
      </c>
      <c r="Z190">
        <v>8000</v>
      </c>
      <c r="AA190" s="118">
        <v>8000</v>
      </c>
      <c r="AB190" s="185">
        <f t="shared" si="901"/>
        <v>0</v>
      </c>
      <c r="AC190" s="187">
        <f t="shared" si="902"/>
        <v>0</v>
      </c>
      <c r="AD190" s="187"/>
      <c r="AE190" s="118">
        <v>8000</v>
      </c>
      <c r="AF190" s="182"/>
      <c r="AH190" s="15">
        <v>5362</v>
      </c>
      <c r="AI190" s="17">
        <f t="shared" ref="AI190:AI192" si="932">AH190/AE190</f>
        <v>0.67025000000000001</v>
      </c>
      <c r="AK190" s="118">
        <v>10000</v>
      </c>
      <c r="AP190" s="220">
        <v>10000</v>
      </c>
      <c r="AS190" s="15">
        <f t="shared" si="903"/>
        <v>10000</v>
      </c>
      <c r="AV190" s="15">
        <f t="shared" si="904"/>
        <v>10000</v>
      </c>
      <c r="AX190" s="15"/>
      <c r="AY190" s="15">
        <f t="shared" si="905"/>
        <v>10000</v>
      </c>
      <c r="BB190" s="15">
        <f t="shared" si="906"/>
        <v>10000</v>
      </c>
      <c r="BD190" s="15">
        <v>5000</v>
      </c>
      <c r="BE190" s="15">
        <f t="shared" si="907"/>
        <v>15000</v>
      </c>
      <c r="BG190" s="15"/>
      <c r="BH190" s="15">
        <f t="shared" si="908"/>
        <v>15000</v>
      </c>
      <c r="BJ190" s="15">
        <v>7171.48</v>
      </c>
      <c r="BK190" s="235">
        <f t="shared" si="909"/>
        <v>0.47809866666666662</v>
      </c>
      <c r="BM190" s="15"/>
      <c r="BN190" s="235">
        <f t="shared" si="910"/>
        <v>0</v>
      </c>
      <c r="BO190" s="235">
        <f t="shared" ref="BO190:BO191" si="933">BM190/BH190</f>
        <v>0</v>
      </c>
      <c r="BQ190" s="15">
        <v>5000</v>
      </c>
      <c r="BR190" s="15">
        <f t="shared" si="911"/>
        <v>5000</v>
      </c>
      <c r="BT190" s="15"/>
      <c r="BU190" s="15">
        <f>BR190+BT190</f>
        <v>5000</v>
      </c>
      <c r="BW190" s="15"/>
      <c r="BX190" s="15">
        <f>BU190+BW190</f>
        <v>5000</v>
      </c>
      <c r="BZ190" s="15"/>
      <c r="CA190" s="15">
        <f>BX190+BZ190</f>
        <v>5000</v>
      </c>
      <c r="CC190" s="15"/>
      <c r="CD190" s="15">
        <f>CA190+CC190</f>
        <v>5000</v>
      </c>
      <c r="CF190" s="15"/>
      <c r="CG190" s="15">
        <f>CD190+CF190</f>
        <v>5000</v>
      </c>
      <c r="CI190" s="15"/>
      <c r="CJ190" s="15">
        <f>CG190+CI190</f>
        <v>5000</v>
      </c>
      <c r="CM190" s="15">
        <f>CJ190+CL190</f>
        <v>5000</v>
      </c>
      <c r="CP190" s="15">
        <f>CM190+CO190</f>
        <v>5000</v>
      </c>
      <c r="CS190" s="15">
        <f>CP190+CR190</f>
        <v>5000</v>
      </c>
      <c r="CV190" s="15">
        <f>CS190+CU190</f>
        <v>5000</v>
      </c>
      <c r="CY190" s="15">
        <f>CV190+CX190</f>
        <v>5000</v>
      </c>
      <c r="DA190" s="15">
        <v>3411</v>
      </c>
      <c r="DC190" s="15">
        <v>0</v>
      </c>
      <c r="DE190" s="15"/>
      <c r="DF190" s="15">
        <f t="shared" si="912"/>
        <v>0</v>
      </c>
      <c r="DH190" s="15"/>
      <c r="DI190" s="15">
        <f t="shared" si="913"/>
        <v>0</v>
      </c>
      <c r="DK190" s="15"/>
      <c r="DL190" s="15">
        <f t="shared" si="914"/>
        <v>0</v>
      </c>
      <c r="DN190" s="15"/>
      <c r="DO190" s="15">
        <f t="shared" si="915"/>
        <v>0</v>
      </c>
      <c r="DQ190" s="15"/>
      <c r="DR190" s="15">
        <f t="shared" si="916"/>
        <v>0</v>
      </c>
      <c r="DT190" s="15"/>
      <c r="DU190" s="15">
        <f t="shared" si="917"/>
        <v>0</v>
      </c>
      <c r="DW190" s="15"/>
      <c r="DX190" s="15">
        <f t="shared" si="918"/>
        <v>0</v>
      </c>
      <c r="DZ190" s="15"/>
      <c r="EA190" s="15">
        <f t="shared" si="919"/>
        <v>0</v>
      </c>
      <c r="EC190" s="15"/>
      <c r="ED190" s="15">
        <f t="shared" si="920"/>
        <v>0</v>
      </c>
      <c r="EF190" s="15"/>
      <c r="EG190" s="15">
        <f t="shared" si="921"/>
        <v>0</v>
      </c>
      <c r="EK190" s="15"/>
      <c r="EM190" s="15"/>
      <c r="EN190" s="15">
        <f t="shared" si="922"/>
        <v>0</v>
      </c>
      <c r="EP190" s="15"/>
      <c r="EQ190" s="15">
        <f t="shared" si="923"/>
        <v>0</v>
      </c>
      <c r="ES190" s="15"/>
      <c r="ET190" s="15">
        <f t="shared" si="924"/>
        <v>0</v>
      </c>
      <c r="EW190" s="15">
        <f t="shared" si="925"/>
        <v>0</v>
      </c>
      <c r="EZ190" s="15">
        <f t="shared" si="926"/>
        <v>0</v>
      </c>
      <c r="FC190" s="15">
        <f t="shared" si="927"/>
        <v>0</v>
      </c>
      <c r="FF190" s="15">
        <f t="shared" si="928"/>
        <v>0</v>
      </c>
      <c r="FI190" s="15">
        <f t="shared" si="929"/>
        <v>0</v>
      </c>
      <c r="FL190" s="15">
        <f t="shared" si="930"/>
        <v>0</v>
      </c>
      <c r="FO190" s="15">
        <f t="shared" si="931"/>
        <v>0</v>
      </c>
      <c r="FR190" s="15">
        <v>0</v>
      </c>
    </row>
    <row r="191" spans="1:179" outlineLevel="1">
      <c r="A191" s="13" t="s">
        <v>392</v>
      </c>
      <c r="B191" s="10" t="s">
        <v>225</v>
      </c>
      <c r="C191" s="4" t="s">
        <v>226</v>
      </c>
      <c r="D191" s="36"/>
      <c r="E191" s="51"/>
      <c r="F191" s="36"/>
      <c r="G191" s="51"/>
      <c r="H191" s="36"/>
      <c r="I191" s="36"/>
      <c r="J191" s="14"/>
      <c r="L191" s="121"/>
      <c r="M191" s="176"/>
      <c r="N191" s="176"/>
      <c r="Q191" s="118">
        <v>22000</v>
      </c>
      <c r="R191" s="15">
        <v>21559</v>
      </c>
      <c r="S191" s="118">
        <v>37000</v>
      </c>
      <c r="T191" s="15">
        <f>S191-Q191</f>
        <v>15000</v>
      </c>
      <c r="U191" s="177">
        <f>S191/Q191-1</f>
        <v>0.68181818181818188</v>
      </c>
      <c r="V191">
        <v>20000</v>
      </c>
      <c r="Y191" s="118">
        <v>37000</v>
      </c>
      <c r="AA191" s="118">
        <v>30000</v>
      </c>
      <c r="AB191" s="185">
        <f t="shared" si="901"/>
        <v>-7000</v>
      </c>
      <c r="AC191" s="187">
        <f t="shared" si="902"/>
        <v>-7000</v>
      </c>
      <c r="AD191" s="187"/>
      <c r="AE191" s="118">
        <v>30000</v>
      </c>
      <c r="AF191" s="182"/>
      <c r="AH191" s="15">
        <v>21679.07</v>
      </c>
      <c r="AI191" s="17">
        <f t="shared" si="932"/>
        <v>0.72263566666666668</v>
      </c>
      <c r="AK191" s="118">
        <v>10000</v>
      </c>
      <c r="AP191" s="220">
        <v>10000</v>
      </c>
      <c r="AS191" s="15">
        <f t="shared" si="903"/>
        <v>10000</v>
      </c>
      <c r="AV191" s="15">
        <f t="shared" si="904"/>
        <v>10000</v>
      </c>
      <c r="AX191" s="15"/>
      <c r="AY191" s="15">
        <f t="shared" si="905"/>
        <v>10000</v>
      </c>
      <c r="BB191" s="15">
        <f t="shared" si="906"/>
        <v>10000</v>
      </c>
      <c r="BD191" s="15"/>
      <c r="BE191" s="15">
        <f t="shared" si="907"/>
        <v>10000</v>
      </c>
      <c r="BG191" s="15"/>
      <c r="BH191" s="15">
        <f t="shared" si="908"/>
        <v>10000</v>
      </c>
      <c r="BJ191" s="15">
        <v>4840</v>
      </c>
      <c r="BK191" s="235">
        <f t="shared" si="909"/>
        <v>0.48399999999999999</v>
      </c>
      <c r="BM191" s="15"/>
      <c r="BN191" s="235">
        <f t="shared" si="910"/>
        <v>0</v>
      </c>
      <c r="BO191" s="235">
        <f t="shared" si="933"/>
        <v>0</v>
      </c>
      <c r="BQ191" s="15">
        <v>5000</v>
      </c>
      <c r="BR191" s="15">
        <f t="shared" si="911"/>
        <v>5000</v>
      </c>
      <c r="BT191" s="15"/>
      <c r="BU191" s="15">
        <f>BR191+BT191</f>
        <v>5000</v>
      </c>
      <c r="BW191" s="15"/>
      <c r="BX191" s="15">
        <f>BU191+BW191</f>
        <v>5000</v>
      </c>
      <c r="BZ191" s="15"/>
      <c r="CA191" s="15">
        <f>BX191+BZ191</f>
        <v>5000</v>
      </c>
      <c r="CC191" s="15"/>
      <c r="CD191" s="15">
        <f>CA191+CC191</f>
        <v>5000</v>
      </c>
      <c r="CF191" s="15"/>
      <c r="CG191" s="15">
        <f>CD191+CF191</f>
        <v>5000</v>
      </c>
      <c r="CI191" s="15"/>
      <c r="CJ191" s="15">
        <f>CG191+CI191</f>
        <v>5000</v>
      </c>
      <c r="CM191" s="15">
        <f>CJ191+CL191</f>
        <v>5000</v>
      </c>
      <c r="CP191" s="15">
        <f>CM191+CO191</f>
        <v>5000</v>
      </c>
      <c r="CS191" s="15">
        <f>CP191+CR191</f>
        <v>5000</v>
      </c>
      <c r="CV191" s="15">
        <f>CS191+CU191</f>
        <v>5000</v>
      </c>
      <c r="CY191" s="15">
        <f>CV191+CX191</f>
        <v>5000</v>
      </c>
      <c r="DA191" s="15">
        <v>0</v>
      </c>
      <c r="DC191" s="15">
        <v>0</v>
      </c>
      <c r="DE191" s="15"/>
      <c r="DF191" s="15">
        <f t="shared" si="912"/>
        <v>0</v>
      </c>
      <c r="DH191" s="15"/>
      <c r="DI191" s="15">
        <f t="shared" si="913"/>
        <v>0</v>
      </c>
      <c r="DK191" s="15"/>
      <c r="DL191" s="15">
        <f t="shared" si="914"/>
        <v>0</v>
      </c>
      <c r="DN191" s="15"/>
      <c r="DO191" s="15">
        <f t="shared" si="915"/>
        <v>0</v>
      </c>
      <c r="DQ191" s="15"/>
      <c r="DR191" s="15">
        <f t="shared" si="916"/>
        <v>0</v>
      </c>
      <c r="DT191" s="15"/>
      <c r="DU191" s="15">
        <f t="shared" si="917"/>
        <v>0</v>
      </c>
      <c r="DW191" s="15"/>
      <c r="DX191" s="15">
        <f t="shared" si="918"/>
        <v>0</v>
      </c>
      <c r="DZ191" s="15"/>
      <c r="EA191" s="15">
        <f t="shared" si="919"/>
        <v>0</v>
      </c>
      <c r="EC191" s="15"/>
      <c r="ED191" s="15">
        <f t="shared" si="920"/>
        <v>0</v>
      </c>
      <c r="EF191" s="15"/>
      <c r="EG191" s="15">
        <f t="shared" si="921"/>
        <v>0</v>
      </c>
      <c r="EK191" s="15"/>
      <c r="EM191" s="15"/>
      <c r="EN191" s="15">
        <f t="shared" si="922"/>
        <v>0</v>
      </c>
      <c r="EP191" s="15"/>
      <c r="EQ191" s="15">
        <f t="shared" si="923"/>
        <v>0</v>
      </c>
      <c r="ES191" s="15"/>
      <c r="ET191" s="15">
        <f t="shared" si="924"/>
        <v>0</v>
      </c>
      <c r="EW191" s="15">
        <f t="shared" si="925"/>
        <v>0</v>
      </c>
      <c r="EZ191" s="15">
        <f t="shared" si="926"/>
        <v>0</v>
      </c>
      <c r="FC191" s="15">
        <f t="shared" si="927"/>
        <v>0</v>
      </c>
      <c r="FF191" s="15">
        <f t="shared" si="928"/>
        <v>0</v>
      </c>
      <c r="FI191" s="15">
        <f t="shared" si="929"/>
        <v>0</v>
      </c>
      <c r="FL191" s="15">
        <f t="shared" si="930"/>
        <v>0</v>
      </c>
      <c r="FO191" s="15">
        <f t="shared" si="931"/>
        <v>0</v>
      </c>
      <c r="FR191" s="15">
        <v>0</v>
      </c>
    </row>
    <row r="192" spans="1:179" outlineLevel="1">
      <c r="A192" s="13" t="s">
        <v>392</v>
      </c>
      <c r="B192" s="10" t="s">
        <v>144</v>
      </c>
      <c r="C192" s="10" t="s">
        <v>145</v>
      </c>
      <c r="D192" s="36"/>
      <c r="E192" s="51"/>
      <c r="F192" s="36"/>
      <c r="G192" s="51"/>
      <c r="H192" s="36"/>
      <c r="I192" s="36"/>
      <c r="J192" s="14"/>
      <c r="L192" s="121"/>
      <c r="M192" s="176"/>
      <c r="N192" s="176"/>
      <c r="U192" s="177"/>
      <c r="V192"/>
      <c r="Y192" s="118"/>
      <c r="AB192" s="185"/>
      <c r="AC192" s="187"/>
      <c r="AD192" s="187"/>
      <c r="AE192" s="118">
        <v>300</v>
      </c>
      <c r="AF192" s="182">
        <f>AE192-AA192</f>
        <v>300</v>
      </c>
      <c r="AH192" s="15">
        <v>300</v>
      </c>
      <c r="AI192" s="17">
        <f t="shared" si="932"/>
        <v>1</v>
      </c>
      <c r="AK192" s="118">
        <v>0</v>
      </c>
      <c r="AX192" s="15"/>
      <c r="BD192" s="15"/>
      <c r="BG192" s="15"/>
      <c r="DE192" s="15"/>
      <c r="DH192" s="15"/>
      <c r="DK192" s="15"/>
      <c r="DN192" s="15"/>
      <c r="DQ192" s="15"/>
      <c r="DT192" s="15"/>
      <c r="DW192" s="15"/>
      <c r="DZ192" s="15"/>
      <c r="EC192" s="15"/>
      <c r="EF192" s="15"/>
      <c r="EK192" s="15"/>
      <c r="EM192" s="15"/>
      <c r="EP192" s="15"/>
      <c r="ES192" s="15"/>
    </row>
    <row r="193" spans="1:181" outlineLevel="1">
      <c r="A193" s="13" t="s">
        <v>392</v>
      </c>
      <c r="B193" s="10" t="s">
        <v>115</v>
      </c>
      <c r="C193" s="282" t="s">
        <v>393</v>
      </c>
      <c r="D193" s="36"/>
      <c r="E193" s="51"/>
      <c r="F193" s="36"/>
      <c r="G193" s="51"/>
      <c r="H193" s="36"/>
      <c r="I193" s="36"/>
      <c r="J193" s="14"/>
      <c r="L193" s="121"/>
      <c r="M193" s="176"/>
      <c r="N193" s="176"/>
      <c r="V193">
        <v>30000</v>
      </c>
      <c r="W193">
        <v>50000</v>
      </c>
      <c r="X193">
        <v>-20000</v>
      </c>
      <c r="Y193" s="118"/>
      <c r="AF193" s="182"/>
      <c r="AH193" s="15"/>
      <c r="AX193" s="15"/>
      <c r="BD193" s="15"/>
      <c r="BG193" s="15"/>
      <c r="DE193" s="15"/>
      <c r="DH193" s="15"/>
      <c r="DK193" s="15"/>
      <c r="DN193" s="15"/>
      <c r="DQ193" s="15"/>
      <c r="DT193" s="15"/>
      <c r="DW193" s="15"/>
      <c r="DZ193" s="15"/>
      <c r="EC193" s="15"/>
      <c r="EF193" s="15"/>
      <c r="EK193" s="15"/>
      <c r="EM193" s="15"/>
      <c r="EP193" s="15"/>
      <c r="ES193" s="15"/>
    </row>
    <row r="194" spans="1:181" outlineLevel="1">
      <c r="A194" s="13" t="s">
        <v>392</v>
      </c>
      <c r="B194" s="10"/>
      <c r="C194" s="282" t="s">
        <v>394</v>
      </c>
      <c r="D194" s="36"/>
      <c r="E194" s="51"/>
      <c r="F194" s="36"/>
      <c r="G194" s="51"/>
      <c r="H194" s="36"/>
      <c r="I194" s="36"/>
      <c r="J194" s="14"/>
      <c r="L194" s="121"/>
      <c r="M194" s="176"/>
      <c r="N194" s="176"/>
      <c r="V194"/>
      <c r="Y194" s="118"/>
      <c r="AF194" s="182"/>
      <c r="AH194" s="15"/>
      <c r="AX194" s="15"/>
      <c r="BD194" s="15"/>
      <c r="BG194" s="15"/>
      <c r="DE194" s="15"/>
      <c r="DH194" s="15"/>
      <c r="DK194" s="15"/>
      <c r="DN194" s="15"/>
      <c r="DQ194" s="15"/>
      <c r="DT194" s="15"/>
      <c r="DW194" s="15"/>
      <c r="DZ194" s="15"/>
      <c r="EC194" s="15"/>
      <c r="EF194" s="15"/>
      <c r="EK194" s="15"/>
      <c r="EM194" s="15"/>
      <c r="EP194" s="15"/>
      <c r="ES194" s="15"/>
    </row>
    <row r="195" spans="1:181" s="145" customFormat="1" ht="13.5" customHeight="1" thickBot="1">
      <c r="A195" s="54" t="s">
        <v>401</v>
      </c>
      <c r="B195" s="55" t="s">
        <v>316</v>
      </c>
      <c r="C195" s="283" t="s">
        <v>400</v>
      </c>
      <c r="D195" s="57"/>
      <c r="E195" s="58"/>
      <c r="F195" s="57"/>
      <c r="G195" s="58"/>
      <c r="H195" s="57"/>
      <c r="I195" s="57"/>
      <c r="J195" s="59"/>
      <c r="K195" s="60"/>
      <c r="L195" s="122"/>
      <c r="M195" s="61"/>
      <c r="N195" s="61"/>
      <c r="O195" s="60"/>
      <c r="P195" s="60"/>
      <c r="Q195" s="122">
        <f>SUM(Q189:Q191)</f>
        <v>52000</v>
      </c>
      <c r="R195" s="122">
        <f>SUM(R189:R191)</f>
        <v>21559</v>
      </c>
      <c r="S195" s="122">
        <f>SUM(S189:S191)</f>
        <v>50000</v>
      </c>
      <c r="T195" s="122">
        <f>SUM(T189:T191)</f>
        <v>-7000</v>
      </c>
      <c r="U195" s="155">
        <f t="shared" ref="U195:U220" si="934">S195/Q195-1</f>
        <v>-3.8461538461538436E-2</v>
      </c>
      <c r="Y195" s="122">
        <f>SUM(Y189:Y191)</f>
        <v>50000</v>
      </c>
      <c r="AA195" s="122">
        <f>SUM(AA189:AA191)</f>
        <v>38000</v>
      </c>
      <c r="AB195" s="122">
        <f>SUM(AB189:AB191)</f>
        <v>-12000</v>
      </c>
      <c r="AC195" s="188"/>
      <c r="AD195" s="188"/>
      <c r="AE195" s="122">
        <f>SUM(AE189:AE192)</f>
        <v>38300</v>
      </c>
      <c r="AF195" s="182"/>
      <c r="AG195"/>
      <c r="AH195" s="122">
        <f>SUM(AH189:AH192)</f>
        <v>27341.07</v>
      </c>
      <c r="AI195" s="17">
        <f t="shared" ref="AI195:AI208" si="935">AH195/AE195</f>
        <v>0.71386605744125331</v>
      </c>
      <c r="AJ195"/>
      <c r="AK195" s="122">
        <f>SUM(AK189:AK192)</f>
        <v>50000</v>
      </c>
      <c r="AL195" s="193" t="e">
        <f>AK195/L195</f>
        <v>#DIV/0!</v>
      </c>
      <c r="AM195" s="17">
        <f>AK195/AE195</f>
        <v>1.3054830287206267</v>
      </c>
      <c r="AN195" s="17">
        <f>AK195/AH195</f>
        <v>1.8287506670368059</v>
      </c>
      <c r="AO195"/>
      <c r="AP195" s="220"/>
      <c r="AQ195"/>
      <c r="AR195"/>
      <c r="AS195" s="122">
        <f>SUM(AS189:AS192)</f>
        <v>50000</v>
      </c>
      <c r="AT195"/>
      <c r="AU195" s="122">
        <f>SUM(AU189:AU192)</f>
        <v>0</v>
      </c>
      <c r="AV195" s="122">
        <f>SUM(AV189:AV192)</f>
        <v>50000</v>
      </c>
      <c r="AW195"/>
      <c r="AX195" s="122">
        <f>SUM(AX189:AX192)</f>
        <v>0</v>
      </c>
      <c r="AY195" s="122">
        <f>SUM(AY189:AY192)</f>
        <v>50000</v>
      </c>
      <c r="AZ195"/>
      <c r="BA195" s="122">
        <f>SUM(BA189:BA192)</f>
        <v>0</v>
      </c>
      <c r="BB195" s="122">
        <f>SUM(BB189:BB192)</f>
        <v>50000</v>
      </c>
      <c r="BC195"/>
      <c r="BD195" s="122">
        <f>SUM(BD189:BD192)</f>
        <v>-15000</v>
      </c>
      <c r="BE195" s="122">
        <f>SUM(BE189:BE192)</f>
        <v>35000</v>
      </c>
      <c r="BF195"/>
      <c r="BG195" s="122">
        <f>SUM(BG189:BG192)</f>
        <v>0</v>
      </c>
      <c r="BH195" s="122">
        <f>SUM(BH189:BH192)</f>
        <v>35000</v>
      </c>
      <c r="BI195"/>
      <c r="BJ195" s="122">
        <f>SUM(BJ189:BJ192)</f>
        <v>12011.48</v>
      </c>
      <c r="BK195" s="236">
        <f t="shared" ref="BK195" si="936">BJ195/BH195</f>
        <v>0.34318514285714286</v>
      </c>
      <c r="BL195" s="234"/>
      <c r="BM195" s="122">
        <f>SUM(BM189:BM192)</f>
        <v>30000</v>
      </c>
      <c r="BN195" s="236">
        <f t="shared" ref="BN195" si="937">BM195/BJ195</f>
        <v>2.4976106191743233</v>
      </c>
      <c r="BO195" s="236">
        <f t="shared" ref="BO195" si="938">BM195/BH195</f>
        <v>0.8571428571428571</v>
      </c>
      <c r="BP195"/>
      <c r="BQ195" s="122">
        <f>SUM(BQ189:BQ192)</f>
        <v>0</v>
      </c>
      <c r="BR195" s="122">
        <f>SUM(BR189:BR192)</f>
        <v>30000</v>
      </c>
      <c r="BS195"/>
      <c r="BT195" s="122">
        <f>SUM(BT189:BT192)</f>
        <v>0</v>
      </c>
      <c r="BU195" s="122">
        <f>SUM(BU189:BU192)</f>
        <v>30000</v>
      </c>
      <c r="BV195"/>
      <c r="BW195" s="122">
        <f>SUM(BW189:BW192)</f>
        <v>0</v>
      </c>
      <c r="BX195" s="122">
        <f>SUM(BX189:BX192)</f>
        <v>30000</v>
      </c>
      <c r="BY195"/>
      <c r="BZ195" s="122">
        <f>SUM(BZ189:BZ192)</f>
        <v>0</v>
      </c>
      <c r="CA195" s="122">
        <f>SUM(CA189:CA192)</f>
        <v>30000</v>
      </c>
      <c r="CB195"/>
      <c r="CC195" s="122">
        <f>SUM(CC189:CC192)</f>
        <v>0</v>
      </c>
      <c r="CD195" s="122">
        <f>SUM(CD189:CD192)</f>
        <v>30000</v>
      </c>
      <c r="CE195"/>
      <c r="CF195" s="122">
        <f>SUM(CF189:CF192)</f>
        <v>0</v>
      </c>
      <c r="CG195" s="122">
        <f>SUM(CG189:CG192)</f>
        <v>30000</v>
      </c>
      <c r="CH195"/>
      <c r="CI195" s="122">
        <f>SUM(CI189:CI192)</f>
        <v>0</v>
      </c>
      <c r="CJ195" s="122">
        <f>SUM(CJ189:CJ192)</f>
        <v>30000</v>
      </c>
      <c r="CK195"/>
      <c r="CL195" s="319">
        <f>SUM(CL189:CL192)</f>
        <v>0</v>
      </c>
      <c r="CM195" s="122">
        <f>SUM(CM189:CM192)</f>
        <v>30000</v>
      </c>
      <c r="CN195"/>
      <c r="CO195" s="122">
        <f>SUM(CO189:CO192)</f>
        <v>0</v>
      </c>
      <c r="CP195" s="122">
        <f>SUM(CP189:CP192)</f>
        <v>30000</v>
      </c>
      <c r="CQ195"/>
      <c r="CR195" s="122">
        <f>SUM(CR189:CR192)</f>
        <v>0</v>
      </c>
      <c r="CS195" s="122">
        <f>SUM(CS189:CS192)</f>
        <v>30000</v>
      </c>
      <c r="CT195"/>
      <c r="CU195" s="122">
        <f>SUM(CU189:CU192)</f>
        <v>0</v>
      </c>
      <c r="CV195" s="122">
        <f>SUM(CV189:CV192)</f>
        <v>30000</v>
      </c>
      <c r="CW195"/>
      <c r="CX195" s="122">
        <f>SUM(CX189:CX192)</f>
        <v>0</v>
      </c>
      <c r="CY195" s="122">
        <f>SUM(CY189:CY192)</f>
        <v>30000</v>
      </c>
      <c r="CZ195"/>
      <c r="DA195" s="122">
        <f>SUM(DA189:DA192)</f>
        <v>3411</v>
      </c>
      <c r="DB195"/>
      <c r="DC195" s="122">
        <f>SUM(DC189:DC192)</f>
        <v>20000</v>
      </c>
      <c r="DD195"/>
      <c r="DE195" s="122">
        <f>SUM(DE189:DE192)</f>
        <v>-5000</v>
      </c>
      <c r="DF195" s="122">
        <f>SUM(DF189:DF192)</f>
        <v>15000</v>
      </c>
      <c r="DG195"/>
      <c r="DH195" s="122">
        <f>SUM(DH189:DH192)</f>
        <v>0</v>
      </c>
      <c r="DI195" s="122">
        <f>SUM(DI189:DI192)</f>
        <v>15000</v>
      </c>
      <c r="DJ195"/>
      <c r="DK195" s="122">
        <f>SUM(DK189:DK192)</f>
        <v>0</v>
      </c>
      <c r="DL195" s="122">
        <f>SUM(DL189:DL192)</f>
        <v>15000</v>
      </c>
      <c r="DM195"/>
      <c r="DN195" s="122">
        <f>SUM(DN189:DN192)</f>
        <v>0</v>
      </c>
      <c r="DO195" s="122">
        <f>SUM(DO189:DO192)</f>
        <v>15000</v>
      </c>
      <c r="DP195"/>
      <c r="DQ195" s="122">
        <f>SUM(DQ189:DQ192)</f>
        <v>0</v>
      </c>
      <c r="DR195" s="122">
        <f>SUM(DR189:DR192)</f>
        <v>15000</v>
      </c>
      <c r="DS195"/>
      <c r="DT195" s="122">
        <f>SUM(DT189:DT192)</f>
        <v>0</v>
      </c>
      <c r="DU195" s="122">
        <f>SUM(DU189:DU192)</f>
        <v>15000</v>
      </c>
      <c r="DV195"/>
      <c r="DW195" s="122">
        <f>SUM(DW189:DW192)</f>
        <v>0</v>
      </c>
      <c r="DX195" s="122">
        <f>SUM(DX189:DX192)</f>
        <v>15000</v>
      </c>
      <c r="DY195"/>
      <c r="DZ195" s="122">
        <f>SUM(DZ189:DZ192)</f>
        <v>0</v>
      </c>
      <c r="EA195" s="122">
        <f>SUM(EA189:EA192)</f>
        <v>15000</v>
      </c>
      <c r="EB195"/>
      <c r="EC195" s="122">
        <f>SUM(EC189:EC192)</f>
        <v>-10000</v>
      </c>
      <c r="ED195" s="122">
        <f>SUM(ED189:ED192)</f>
        <v>5000</v>
      </c>
      <c r="EE195"/>
      <c r="EF195" s="122">
        <f>SUM(EF189:EF192)</f>
        <v>15000</v>
      </c>
      <c r="EG195" s="122">
        <f>SUM(EG189:EG192)</f>
        <v>20000</v>
      </c>
      <c r="EH195"/>
      <c r="EI195" s="122">
        <f>SUM(EI189:EI192)</f>
        <v>0</v>
      </c>
      <c r="EJ195"/>
      <c r="EK195" s="122">
        <f>SUM(EK189:EK192)</f>
        <v>20000</v>
      </c>
      <c r="EL195" s="377" t="e">
        <f>EK195/EI195-1</f>
        <v>#DIV/0!</v>
      </c>
      <c r="EM195" s="122">
        <f>SUM(EM189:EM192)</f>
        <v>0</v>
      </c>
      <c r="EN195" s="122">
        <f>SUM(EN189:EN192)</f>
        <v>20000</v>
      </c>
      <c r="EO195"/>
      <c r="EP195" s="122">
        <f>SUM(EP189:EP192)</f>
        <v>0</v>
      </c>
      <c r="EQ195" s="122">
        <f>SUM(EQ189:EQ192)</f>
        <v>20000</v>
      </c>
      <c r="ER195"/>
      <c r="ES195" s="122">
        <f>SUM(ES189:ES192)</f>
        <v>0</v>
      </c>
      <c r="ET195" s="122">
        <f>SUM(ET189:ET192)</f>
        <v>20000</v>
      </c>
      <c r="EU195"/>
      <c r="EV195" s="122">
        <f>SUM(EV189:EV192)</f>
        <v>0</v>
      </c>
      <c r="EW195" s="122">
        <f>SUM(EW189:EW192)</f>
        <v>20000</v>
      </c>
      <c r="EX195"/>
      <c r="EY195" s="122">
        <f>SUM(EY189:EY192)</f>
        <v>0</v>
      </c>
      <c r="EZ195" s="122">
        <f>SUM(EZ189:EZ192)</f>
        <v>20000</v>
      </c>
      <c r="FB195" s="122">
        <f>SUM(FB189:FB192)</f>
        <v>0</v>
      </c>
      <c r="FC195" s="122">
        <f>SUM(FC189:FC192)</f>
        <v>20000</v>
      </c>
      <c r="FE195" s="122">
        <f>SUM(FE189:FE192)</f>
        <v>0</v>
      </c>
      <c r="FF195" s="122">
        <f>SUM(FF189:FF192)</f>
        <v>20000</v>
      </c>
      <c r="FH195" s="122">
        <f>SUM(FH189:FH192)</f>
        <v>0</v>
      </c>
      <c r="FI195" s="122">
        <f>SUM(FI189:FI192)</f>
        <v>20000</v>
      </c>
      <c r="FK195" s="122">
        <f>SUM(FK189:FK192)</f>
        <v>0</v>
      </c>
      <c r="FL195" s="122">
        <f>SUM(FL189:FL192)</f>
        <v>20000</v>
      </c>
      <c r="FN195" s="122">
        <f>SUM(FN189:FN192)</f>
        <v>-15000</v>
      </c>
      <c r="FO195" s="122">
        <f>SUM(FO189:FO192)</f>
        <v>5000</v>
      </c>
      <c r="FQ195" s="122">
        <v>0</v>
      </c>
      <c r="FR195" s="122">
        <v>5000</v>
      </c>
      <c r="FT195" s="122">
        <f>SUM(FT189:FT193)</f>
        <v>0</v>
      </c>
      <c r="FV195" s="122">
        <f>SUM(FV189:FV193)</f>
        <v>20000</v>
      </c>
      <c r="FW195" s="235" t="e">
        <f t="shared" ref="FW195:FW197" si="939">FV195/FT195</f>
        <v>#DIV/0!</v>
      </c>
      <c r="FY195" s="429"/>
    </row>
    <row r="196" spans="1:181" s="145" customFormat="1" ht="15.75" outlineLevel="1" thickTop="1">
      <c r="A196" s="13" t="s">
        <v>551</v>
      </c>
      <c r="B196" s="10" t="s">
        <v>484</v>
      </c>
      <c r="C196" s="282" t="s">
        <v>552</v>
      </c>
      <c r="D196" s="36"/>
      <c r="E196" s="51"/>
      <c r="F196" s="36"/>
      <c r="G196" s="51"/>
      <c r="H196" s="36"/>
      <c r="I196" s="36"/>
      <c r="J196" s="14"/>
      <c r="K196"/>
      <c r="L196" s="121"/>
      <c r="M196" s="176"/>
      <c r="N196" s="176"/>
      <c r="O196"/>
      <c r="P196"/>
      <c r="Q196" s="121"/>
      <c r="R196" s="121"/>
      <c r="S196" s="121"/>
      <c r="T196" s="121"/>
      <c r="U196" s="223"/>
      <c r="V196"/>
      <c r="W196"/>
      <c r="X196"/>
      <c r="Y196" s="121"/>
      <c r="Z196"/>
      <c r="AA196" s="121"/>
      <c r="AB196" s="121"/>
      <c r="AC196" s="188"/>
      <c r="AD196" s="188"/>
      <c r="AE196" s="121"/>
      <c r="AF196" s="187"/>
      <c r="AG196"/>
      <c r="AH196" s="121"/>
      <c r="AI196" s="224"/>
      <c r="AJ196"/>
      <c r="AK196" s="121"/>
      <c r="AL196" s="193"/>
      <c r="AM196" s="224"/>
      <c r="AN196" s="224"/>
      <c r="AO196"/>
      <c r="AP196"/>
      <c r="AQ196"/>
      <c r="AR196"/>
      <c r="AS196" s="121"/>
      <c r="AT196"/>
      <c r="AU196" s="121"/>
      <c r="AV196" s="121"/>
      <c r="AW196"/>
      <c r="AX196" s="121"/>
      <c r="AY196" s="121"/>
      <c r="AZ196"/>
      <c r="BA196" s="121"/>
      <c r="BB196" s="121"/>
      <c r="BC196"/>
      <c r="BD196" s="121"/>
      <c r="BE196" s="121"/>
      <c r="BF196"/>
      <c r="BG196" s="121"/>
      <c r="BH196" s="121"/>
      <c r="BI196"/>
      <c r="BJ196" s="121"/>
      <c r="BK196" s="291"/>
      <c r="BL196" s="234"/>
      <c r="BM196" s="121"/>
      <c r="BN196" s="291"/>
      <c r="BO196" s="291"/>
      <c r="BP196"/>
      <c r="BQ196" s="299">
        <v>1000</v>
      </c>
      <c r="BR196" s="15">
        <f t="shared" ref="BR196" si="940">BM196+BQ196</f>
        <v>1000</v>
      </c>
      <c r="BS196"/>
      <c r="BT196" s="36"/>
      <c r="BU196" s="15">
        <f>BR196+BT196</f>
        <v>1000</v>
      </c>
      <c r="BV196"/>
      <c r="BW196" s="36"/>
      <c r="BX196" s="15">
        <f>BU196+BW196</f>
        <v>1000</v>
      </c>
      <c r="BY196"/>
      <c r="BZ196" s="36"/>
      <c r="CA196" s="15">
        <f>BX196+BZ196</f>
        <v>1000</v>
      </c>
      <c r="CB196"/>
      <c r="CC196" s="36"/>
      <c r="CD196" s="15">
        <f>CA196+CC196</f>
        <v>1000</v>
      </c>
      <c r="CE196"/>
      <c r="CF196" s="36"/>
      <c r="CG196" s="15">
        <f>CD196+CF196</f>
        <v>1000</v>
      </c>
      <c r="CH196"/>
      <c r="CI196" s="36"/>
      <c r="CJ196" s="15">
        <f>CG196+CI196</f>
        <v>1000</v>
      </c>
      <c r="CK196"/>
      <c r="CL196" s="36"/>
      <c r="CM196" s="15">
        <f>CJ196+CL196</f>
        <v>1000</v>
      </c>
      <c r="CN196"/>
      <c r="CO196" s="36"/>
      <c r="CP196" s="15">
        <f>CM196+CO196</f>
        <v>1000</v>
      </c>
      <c r="CQ196"/>
      <c r="CR196" s="36"/>
      <c r="CS196" s="15">
        <f>CP196+CR196</f>
        <v>1000</v>
      </c>
      <c r="CT196"/>
      <c r="CU196" s="36"/>
      <c r="CV196" s="15">
        <f>CS196+CU196</f>
        <v>1000</v>
      </c>
      <c r="CW196"/>
      <c r="CX196" s="36"/>
      <c r="CY196" s="15">
        <f>CV196+CX196</f>
        <v>1000</v>
      </c>
      <c r="CZ196"/>
      <c r="DA196" s="36">
        <v>1000</v>
      </c>
      <c r="DB196"/>
      <c r="DC196" s="36">
        <v>1000</v>
      </c>
      <c r="DD196"/>
      <c r="DE196" s="121"/>
      <c r="DF196" s="15">
        <f t="shared" ref="DF196" si="941">DC196+DE196</f>
        <v>1000</v>
      </c>
      <c r="DG196"/>
      <c r="DH196" s="121"/>
      <c r="DI196" s="15">
        <f t="shared" ref="DI196" si="942">DF196+DH196</f>
        <v>1000</v>
      </c>
      <c r="DJ196"/>
      <c r="DK196" s="121"/>
      <c r="DL196" s="15">
        <f t="shared" ref="DL196" si="943">DI196+DK196</f>
        <v>1000</v>
      </c>
      <c r="DM196"/>
      <c r="DN196" s="121"/>
      <c r="DO196" s="15">
        <f t="shared" ref="DO196" si="944">DL196+DN196</f>
        <v>1000</v>
      </c>
      <c r="DP196"/>
      <c r="DQ196" s="121"/>
      <c r="DR196" s="15">
        <f t="shared" ref="DR196" si="945">DO196+DQ196</f>
        <v>1000</v>
      </c>
      <c r="DS196"/>
      <c r="DT196" s="121"/>
      <c r="DU196" s="15">
        <f t="shared" ref="DU196" si="946">DR196+DT196</f>
        <v>1000</v>
      </c>
      <c r="DV196"/>
      <c r="DW196" s="121"/>
      <c r="DX196" s="15">
        <f t="shared" ref="DX196" si="947">DU196+DW196</f>
        <v>1000</v>
      </c>
      <c r="DY196"/>
      <c r="DZ196" s="121"/>
      <c r="EA196" s="15">
        <f t="shared" ref="EA196" si="948">DX196+DZ196</f>
        <v>1000</v>
      </c>
      <c r="EB196"/>
      <c r="EC196" s="121"/>
      <c r="ED196" s="15">
        <f t="shared" ref="ED196" si="949">EA196+EC196</f>
        <v>1000</v>
      </c>
      <c r="EE196"/>
      <c r="EF196" s="121"/>
      <c r="EG196" s="15">
        <f t="shared" ref="EG196" si="950">ED196+EF196</f>
        <v>1000</v>
      </c>
      <c r="EH196"/>
      <c r="EI196" s="36">
        <v>1000</v>
      </c>
      <c r="EJ196"/>
      <c r="EK196" s="36">
        <v>1000</v>
      </c>
      <c r="EL196"/>
      <c r="EM196" s="121"/>
      <c r="EN196" s="15">
        <f t="shared" ref="EN196" si="951">EK196+EM196</f>
        <v>1000</v>
      </c>
      <c r="EO196"/>
      <c r="EP196" s="121"/>
      <c r="EQ196" s="15">
        <f t="shared" ref="EQ196" si="952">EN196+EP196</f>
        <v>1000</v>
      </c>
      <c r="ER196"/>
      <c r="ES196" s="121"/>
      <c r="ET196" s="15">
        <f t="shared" ref="ET196" si="953">EQ196+ES196</f>
        <v>1000</v>
      </c>
      <c r="EU196"/>
      <c r="EV196" s="121"/>
      <c r="EW196" s="15">
        <f t="shared" ref="EW196" si="954">ET196+EV196</f>
        <v>1000</v>
      </c>
      <c r="EX196"/>
      <c r="EY196" s="121"/>
      <c r="EZ196" s="15">
        <f t="shared" ref="EZ196" si="955">EW196+EY196</f>
        <v>1000</v>
      </c>
      <c r="FB196" s="121"/>
      <c r="FC196" s="15">
        <f t="shared" ref="FC196" si="956">EZ196+FB196</f>
        <v>1000</v>
      </c>
      <c r="FE196" s="121"/>
      <c r="FF196" s="15">
        <f t="shared" ref="FF196" si="957">FC196+FE196</f>
        <v>1000</v>
      </c>
      <c r="FH196" s="121"/>
      <c r="FI196" s="15">
        <f t="shared" ref="FI196" si="958">FF196+FH196</f>
        <v>1000</v>
      </c>
      <c r="FK196" s="121"/>
      <c r="FL196" s="15">
        <f t="shared" ref="FL196" si="959">FI196+FK196</f>
        <v>1000</v>
      </c>
      <c r="FN196" s="121"/>
      <c r="FO196" s="15">
        <f t="shared" ref="FO196" si="960">FL196+FN196</f>
        <v>1000</v>
      </c>
      <c r="FQ196" s="121"/>
      <c r="FR196" s="15">
        <v>1000</v>
      </c>
      <c r="FT196" s="36">
        <v>0</v>
      </c>
      <c r="FV196" s="36"/>
      <c r="FW196" s="235" t="e">
        <f t="shared" si="939"/>
        <v>#DIV/0!</v>
      </c>
      <c r="FY196" s="429"/>
    </row>
    <row r="197" spans="1:181" s="145" customFormat="1" ht="16.5" customHeight="1" thickBot="1">
      <c r="A197" s="54" t="s">
        <v>551</v>
      </c>
      <c r="B197" s="55" t="s">
        <v>316</v>
      </c>
      <c r="C197" s="283" t="s">
        <v>552</v>
      </c>
      <c r="D197" s="57"/>
      <c r="E197" s="58"/>
      <c r="F197" s="57"/>
      <c r="G197" s="58"/>
      <c r="H197" s="57"/>
      <c r="I197" s="57"/>
      <c r="J197" s="59"/>
      <c r="K197" s="60"/>
      <c r="L197" s="122"/>
      <c r="M197" s="61"/>
      <c r="N197" s="61"/>
      <c r="O197" s="60"/>
      <c r="P197" s="60"/>
      <c r="Q197" s="122"/>
      <c r="R197" s="122"/>
      <c r="S197" s="122"/>
      <c r="T197" s="122"/>
      <c r="U197" s="292"/>
      <c r="V197" s="133"/>
      <c r="W197" s="133"/>
      <c r="X197" s="133"/>
      <c r="Y197" s="122"/>
      <c r="Z197" s="133"/>
      <c r="AA197" s="122"/>
      <c r="AB197" s="122"/>
      <c r="AC197" s="293"/>
      <c r="AD197" s="293"/>
      <c r="AE197" s="122"/>
      <c r="AF197" s="294"/>
      <c r="AG197" s="295"/>
      <c r="AH197" s="122"/>
      <c r="AI197" s="214"/>
      <c r="AJ197" s="295"/>
      <c r="AK197" s="122"/>
      <c r="AL197" s="296"/>
      <c r="AM197" s="214"/>
      <c r="AN197" s="214"/>
      <c r="AO197" s="295"/>
      <c r="AP197" s="297"/>
      <c r="AQ197" s="295"/>
      <c r="AR197" s="295"/>
      <c r="AS197" s="122"/>
      <c r="AT197" s="295"/>
      <c r="AU197" s="122"/>
      <c r="AV197" s="122"/>
      <c r="AW197" s="295"/>
      <c r="AX197" s="122"/>
      <c r="AY197" s="122"/>
      <c r="AZ197" s="295"/>
      <c r="BA197" s="122"/>
      <c r="BB197" s="122"/>
      <c r="BC197" s="295"/>
      <c r="BD197" s="122"/>
      <c r="BE197" s="122"/>
      <c r="BF197" s="295"/>
      <c r="BG197" s="122"/>
      <c r="BH197" s="122"/>
      <c r="BI197" s="295"/>
      <c r="BJ197" s="122"/>
      <c r="BK197" s="236"/>
      <c r="BL197" s="298"/>
      <c r="BM197" s="122"/>
      <c r="BN197" s="236"/>
      <c r="BO197" s="236"/>
      <c r="BP197" s="295"/>
      <c r="BQ197" s="122">
        <f>SUM(BQ196)</f>
        <v>1000</v>
      </c>
      <c r="BR197" s="122">
        <f>SUM(BR196)</f>
        <v>1000</v>
      </c>
      <c r="BS197"/>
      <c r="BT197" s="122">
        <f>SUM(BT196)</f>
        <v>0</v>
      </c>
      <c r="BU197" s="122">
        <f>SUM(BU196)</f>
        <v>1000</v>
      </c>
      <c r="BV197"/>
      <c r="BW197" s="122">
        <f>SUM(BW196)</f>
        <v>0</v>
      </c>
      <c r="BX197" s="122">
        <f>SUM(BX196)</f>
        <v>1000</v>
      </c>
      <c r="BY197"/>
      <c r="BZ197" s="122">
        <f>SUM(BZ196)</f>
        <v>0</v>
      </c>
      <c r="CA197" s="122">
        <f>SUM(CA196)</f>
        <v>1000</v>
      </c>
      <c r="CB197"/>
      <c r="CC197" s="122">
        <f>SUM(CC196)</f>
        <v>0</v>
      </c>
      <c r="CD197" s="122">
        <f>SUM(CD196)</f>
        <v>1000</v>
      </c>
      <c r="CE197"/>
      <c r="CF197" s="122">
        <f>SUM(CF196)</f>
        <v>0</v>
      </c>
      <c r="CG197" s="122">
        <f>SUM(CG196)</f>
        <v>1000</v>
      </c>
      <c r="CH197"/>
      <c r="CI197" s="122">
        <f>SUM(CI196)</f>
        <v>0</v>
      </c>
      <c r="CJ197" s="122">
        <f>SUM(CJ196)</f>
        <v>1000</v>
      </c>
      <c r="CK197"/>
      <c r="CL197" s="319">
        <f>SUM(CL196)</f>
        <v>0</v>
      </c>
      <c r="CM197" s="122">
        <f>SUM(CM196)</f>
        <v>1000</v>
      </c>
      <c r="CN197"/>
      <c r="CO197" s="122">
        <f>SUM(CO196)</f>
        <v>0</v>
      </c>
      <c r="CP197" s="122">
        <f>SUM(CP196)</f>
        <v>1000</v>
      </c>
      <c r="CQ197"/>
      <c r="CR197" s="122">
        <f>SUM(CR196)</f>
        <v>0</v>
      </c>
      <c r="CS197" s="122">
        <f>SUM(CS196)</f>
        <v>1000</v>
      </c>
      <c r="CT197"/>
      <c r="CU197" s="122">
        <f>SUM(CU196)</f>
        <v>0</v>
      </c>
      <c r="CV197" s="122">
        <f>SUM(CV196)</f>
        <v>1000</v>
      </c>
      <c r="CW197"/>
      <c r="CX197" s="122">
        <f>SUM(CX196)</f>
        <v>0</v>
      </c>
      <c r="CY197" s="122">
        <f>SUM(CY196)</f>
        <v>1000</v>
      </c>
      <c r="CZ197"/>
      <c r="DA197" s="122">
        <f>SUM(DA196)</f>
        <v>1000</v>
      </c>
      <c r="DB197"/>
      <c r="DC197" s="122">
        <f>SUM(DC196)</f>
        <v>1000</v>
      </c>
      <c r="DD197"/>
      <c r="DE197" s="122">
        <f>SUM(DE196)</f>
        <v>0</v>
      </c>
      <c r="DF197" s="122">
        <f>SUM(DF196)</f>
        <v>1000</v>
      </c>
      <c r="DG197"/>
      <c r="DH197" s="122">
        <f>SUM(DH196)</f>
        <v>0</v>
      </c>
      <c r="DI197" s="122">
        <f>SUM(DI196)</f>
        <v>1000</v>
      </c>
      <c r="DJ197"/>
      <c r="DK197" s="122">
        <f>SUM(DK196)</f>
        <v>0</v>
      </c>
      <c r="DL197" s="122">
        <f>SUM(DL196)</f>
        <v>1000</v>
      </c>
      <c r="DM197"/>
      <c r="DN197" s="122">
        <f>SUM(DN196)</f>
        <v>0</v>
      </c>
      <c r="DO197" s="122">
        <f>SUM(DO196)</f>
        <v>1000</v>
      </c>
      <c r="DP197"/>
      <c r="DQ197" s="122">
        <f>SUM(DQ196)</f>
        <v>0</v>
      </c>
      <c r="DR197" s="122">
        <f>SUM(DR196)</f>
        <v>1000</v>
      </c>
      <c r="DS197"/>
      <c r="DT197" s="122">
        <f>SUM(DT196)</f>
        <v>0</v>
      </c>
      <c r="DU197" s="122">
        <f>SUM(DU196)</f>
        <v>1000</v>
      </c>
      <c r="DV197"/>
      <c r="DW197" s="122">
        <f>SUM(DW196)</f>
        <v>0</v>
      </c>
      <c r="DX197" s="122">
        <f>SUM(DX196)</f>
        <v>1000</v>
      </c>
      <c r="DY197"/>
      <c r="DZ197" s="122">
        <f>SUM(DZ196)</f>
        <v>0</v>
      </c>
      <c r="EA197" s="122">
        <f>SUM(EA196)</f>
        <v>1000</v>
      </c>
      <c r="EB197"/>
      <c r="EC197" s="122">
        <f>SUM(EC196)</f>
        <v>0</v>
      </c>
      <c r="ED197" s="122">
        <f>SUM(ED196)</f>
        <v>1000</v>
      </c>
      <c r="EE197"/>
      <c r="EF197" s="122">
        <f>SUM(EF196)</f>
        <v>0</v>
      </c>
      <c r="EG197" s="122">
        <f>SUM(EG196)</f>
        <v>1000</v>
      </c>
      <c r="EH197"/>
      <c r="EI197" s="122">
        <f>SUM(EI196)</f>
        <v>1000</v>
      </c>
      <c r="EJ197"/>
      <c r="EK197" s="122">
        <f>SUM(EK196)</f>
        <v>1000</v>
      </c>
      <c r="EL197"/>
      <c r="EM197" s="122">
        <f>SUM(EM196)</f>
        <v>0</v>
      </c>
      <c r="EN197" s="122">
        <f>SUM(EN196)</f>
        <v>1000</v>
      </c>
      <c r="EO197"/>
      <c r="EP197" s="122">
        <f>SUM(EP196)</f>
        <v>0</v>
      </c>
      <c r="EQ197" s="122">
        <f>SUM(EQ196)</f>
        <v>1000</v>
      </c>
      <c r="ER197"/>
      <c r="ES197" s="122">
        <f>SUM(ES196)</f>
        <v>0</v>
      </c>
      <c r="ET197" s="122">
        <f>SUM(ET196)</f>
        <v>1000</v>
      </c>
      <c r="EU197"/>
      <c r="EV197" s="122">
        <f>SUM(EV196)</f>
        <v>0</v>
      </c>
      <c r="EW197" s="122">
        <f>SUM(EW196)</f>
        <v>1000</v>
      </c>
      <c r="EX197"/>
      <c r="EY197" s="122">
        <f>SUM(EY196)</f>
        <v>0</v>
      </c>
      <c r="EZ197" s="122">
        <f>SUM(EZ196)</f>
        <v>1000</v>
      </c>
      <c r="FB197" s="122">
        <f>SUM(FB196)</f>
        <v>0</v>
      </c>
      <c r="FC197" s="122">
        <f>SUM(FC196)</f>
        <v>1000</v>
      </c>
      <c r="FE197" s="122">
        <f>SUM(FE196)</f>
        <v>0</v>
      </c>
      <c r="FF197" s="122">
        <f>SUM(FF196)</f>
        <v>1000</v>
      </c>
      <c r="FH197" s="122">
        <f>SUM(FH196)</f>
        <v>0</v>
      </c>
      <c r="FI197" s="122">
        <f>SUM(FI196)</f>
        <v>1000</v>
      </c>
      <c r="FK197" s="122">
        <f>SUM(FK196)</f>
        <v>0</v>
      </c>
      <c r="FL197" s="122">
        <f>SUM(FL196)</f>
        <v>1000</v>
      </c>
      <c r="FN197" s="122">
        <f>SUM(FN196)</f>
        <v>0</v>
      </c>
      <c r="FO197" s="122">
        <f>SUM(FO196)</f>
        <v>1000</v>
      </c>
      <c r="FQ197" s="122">
        <v>0</v>
      </c>
      <c r="FR197" s="122">
        <v>1000</v>
      </c>
      <c r="FT197" s="122">
        <f>SUM(FT196)</f>
        <v>0</v>
      </c>
      <c r="FV197" s="122">
        <f>SUM(FV196)</f>
        <v>0</v>
      </c>
      <c r="FW197" s="235" t="e">
        <f t="shared" si="939"/>
        <v>#DIV/0!</v>
      </c>
      <c r="FY197" s="429"/>
    </row>
    <row r="198" spans="1:181" s="145" customFormat="1" ht="15.75" customHeight="1" thickTop="1">
      <c r="A198" s="13" t="s">
        <v>475</v>
      </c>
      <c r="B198" s="10" t="s">
        <v>134</v>
      </c>
      <c r="C198" s="282" t="s">
        <v>135</v>
      </c>
      <c r="D198" s="36"/>
      <c r="E198" s="51"/>
      <c r="F198" s="36"/>
      <c r="G198" s="51"/>
      <c r="H198" s="36"/>
      <c r="I198" s="36"/>
      <c r="J198" s="14"/>
      <c r="K198"/>
      <c r="L198" s="121"/>
      <c r="M198" s="176"/>
      <c r="N198" s="176"/>
      <c r="O198"/>
      <c r="P198"/>
      <c r="Q198" s="121"/>
      <c r="R198" s="121"/>
      <c r="S198" s="121"/>
      <c r="T198" s="121"/>
      <c r="U198" s="223"/>
      <c r="V198"/>
      <c r="W198"/>
      <c r="X198"/>
      <c r="Y198" s="121"/>
      <c r="Z198"/>
      <c r="AA198" s="121"/>
      <c r="AB198" s="121"/>
      <c r="AC198" s="188"/>
      <c r="AD198" s="188"/>
      <c r="AE198" s="121"/>
      <c r="AF198" s="187"/>
      <c r="AG198"/>
      <c r="AH198" s="121"/>
      <c r="AI198" s="224"/>
      <c r="AJ198"/>
      <c r="AK198" s="121"/>
      <c r="AL198" s="193"/>
      <c r="AM198" s="224"/>
      <c r="AN198" s="224"/>
      <c r="AO198"/>
      <c r="AP198"/>
      <c r="AQ198"/>
      <c r="AR198"/>
      <c r="AS198" s="121"/>
      <c r="AT198"/>
      <c r="AU198" s="15">
        <v>100000</v>
      </c>
      <c r="AV198" s="15">
        <f t="shared" ref="AV198:AV213" si="961">AS198+AU198</f>
        <v>100000</v>
      </c>
      <c r="AW198"/>
      <c r="AX198" s="15"/>
      <c r="AY198" s="15">
        <f t="shared" ref="AY198" si="962">AV198+AX198</f>
        <v>100000</v>
      </c>
      <c r="AZ198"/>
      <c r="BA198" s="15"/>
      <c r="BB198" s="15">
        <f t="shared" ref="BB198" si="963">AY198+BA198</f>
        <v>100000</v>
      </c>
      <c r="BC198"/>
      <c r="BD198" s="15"/>
      <c r="BE198" s="15">
        <f t="shared" ref="BE198" si="964">BB198+BD198</f>
        <v>100000</v>
      </c>
      <c r="BF198"/>
      <c r="BG198" s="15"/>
      <c r="BH198" s="15">
        <f t="shared" ref="BH198" si="965">BE198+BG198</f>
        <v>100000</v>
      </c>
      <c r="BI198"/>
      <c r="BJ198" s="15">
        <v>100000</v>
      </c>
      <c r="BK198" s="235">
        <f t="shared" ref="BK198:BK199" si="966">BJ198/BH198</f>
        <v>1</v>
      </c>
      <c r="BL198" s="234"/>
      <c r="BM198" s="15">
        <v>0</v>
      </c>
      <c r="BN198" s="235">
        <f t="shared" ref="BN198:BN220" si="967">BM198/BJ198</f>
        <v>0</v>
      </c>
      <c r="BO198" s="235">
        <f t="shared" ref="BO198:BO220" si="968">BM198/BH198</f>
        <v>0</v>
      </c>
      <c r="BP198"/>
      <c r="BQ198" s="15">
        <v>0</v>
      </c>
      <c r="BR198" s="15">
        <v>0</v>
      </c>
      <c r="BS198"/>
      <c r="BT198" s="15">
        <v>0</v>
      </c>
      <c r="BU198" s="15">
        <v>0</v>
      </c>
      <c r="BV198"/>
      <c r="BW198" s="15">
        <v>0</v>
      </c>
      <c r="BX198" s="15">
        <v>0</v>
      </c>
      <c r="BY198"/>
      <c r="BZ198" s="15">
        <v>0</v>
      </c>
      <c r="CA198" s="15">
        <v>0</v>
      </c>
      <c r="CB198"/>
      <c r="CC198" s="15">
        <v>0</v>
      </c>
      <c r="CD198" s="15">
        <v>0</v>
      </c>
      <c r="CE198"/>
      <c r="CF198" s="15">
        <v>0</v>
      </c>
      <c r="CG198" s="15">
        <v>0</v>
      </c>
      <c r="CH198"/>
      <c r="CI198" s="15">
        <v>0</v>
      </c>
      <c r="CJ198" s="15">
        <v>0</v>
      </c>
      <c r="CK198"/>
      <c r="CL198" s="15">
        <v>0</v>
      </c>
      <c r="CM198" s="15">
        <v>0</v>
      </c>
      <c r="CN198"/>
      <c r="CO198" s="15">
        <v>0</v>
      </c>
      <c r="CP198" s="15">
        <v>0</v>
      </c>
      <c r="CQ198"/>
      <c r="CR198" s="15">
        <v>0</v>
      </c>
      <c r="CS198" s="15">
        <v>0</v>
      </c>
      <c r="CT198"/>
      <c r="CU198" s="15">
        <v>0</v>
      </c>
      <c r="CV198" s="15">
        <v>0</v>
      </c>
      <c r="CW198"/>
      <c r="CX198" s="15">
        <v>0</v>
      </c>
      <c r="CY198" s="15">
        <v>0</v>
      </c>
      <c r="CZ198"/>
      <c r="DA198" s="15">
        <v>0</v>
      </c>
      <c r="DB198"/>
      <c r="DC198" s="15">
        <v>0</v>
      </c>
      <c r="DD198"/>
      <c r="DE198" s="15"/>
      <c r="DF198" s="15">
        <f t="shared" ref="DF198" si="969">DC198+DE198</f>
        <v>0</v>
      </c>
      <c r="DG198"/>
      <c r="DH198" s="15"/>
      <c r="DI198" s="15">
        <f t="shared" ref="DI198" si="970">DF198+DH198</f>
        <v>0</v>
      </c>
      <c r="DJ198"/>
      <c r="DK198" s="15"/>
      <c r="DL198" s="15">
        <f t="shared" ref="DL198" si="971">DI198+DK198</f>
        <v>0</v>
      </c>
      <c r="DM198"/>
      <c r="DN198" s="15"/>
      <c r="DO198" s="15">
        <f t="shared" ref="DO198" si="972">DL198+DN198</f>
        <v>0</v>
      </c>
      <c r="DP198"/>
      <c r="DQ198" s="15"/>
      <c r="DR198" s="15">
        <f t="shared" ref="DR198" si="973">DO198+DQ198</f>
        <v>0</v>
      </c>
      <c r="DS198"/>
      <c r="DT198" s="15"/>
      <c r="DU198" s="15">
        <f t="shared" ref="DU198" si="974">DR198+DT198</f>
        <v>0</v>
      </c>
      <c r="DV198"/>
      <c r="DW198" s="15"/>
      <c r="DX198" s="15">
        <f t="shared" ref="DX198" si="975">DU198+DW198</f>
        <v>0</v>
      </c>
      <c r="DY198"/>
      <c r="DZ198" s="15"/>
      <c r="EA198" s="15">
        <f t="shared" ref="EA198" si="976">DX198+DZ198</f>
        <v>0</v>
      </c>
      <c r="EB198"/>
      <c r="EC198" s="15"/>
      <c r="ED198" s="15">
        <f t="shared" ref="ED198" si="977">EA198+EC198</f>
        <v>0</v>
      </c>
      <c r="EE198"/>
      <c r="EF198" s="15"/>
      <c r="EG198" s="15">
        <f t="shared" ref="EG198" si="978">ED198+EF198</f>
        <v>0</v>
      </c>
      <c r="EH198"/>
      <c r="EI198" s="15"/>
      <c r="EJ198"/>
      <c r="EK198" s="15"/>
      <c r="EL198"/>
      <c r="EM198" s="15"/>
      <c r="EN198" s="15">
        <f t="shared" ref="EN198" si="979">EK198+EM198</f>
        <v>0</v>
      </c>
      <c r="EO198"/>
      <c r="EP198" s="15"/>
      <c r="EQ198" s="15">
        <f t="shared" ref="EQ198" si="980">EN198+EP198</f>
        <v>0</v>
      </c>
      <c r="ER198"/>
      <c r="ES198" s="15"/>
      <c r="ET198" s="15">
        <f t="shared" ref="ET198" si="981">EQ198+ES198</f>
        <v>0</v>
      </c>
      <c r="EU198"/>
      <c r="EV198" s="15"/>
      <c r="EW198" s="15">
        <f t="shared" ref="EW198" si="982">ET198+EV198</f>
        <v>0</v>
      </c>
      <c r="EX198"/>
      <c r="EY198" s="15"/>
      <c r="EZ198" s="15">
        <f t="shared" ref="EZ198" si="983">EW198+EY198</f>
        <v>0</v>
      </c>
      <c r="FB198" s="15"/>
      <c r="FC198" s="15">
        <f t="shared" ref="FC198" si="984">EZ198+FB198</f>
        <v>0</v>
      </c>
      <c r="FE198" s="15"/>
      <c r="FF198" s="15">
        <f t="shared" ref="FF198" si="985">FC198+FE198</f>
        <v>0</v>
      </c>
      <c r="FH198" s="15"/>
      <c r="FI198" s="15">
        <f t="shared" ref="FI198" si="986">FF198+FH198</f>
        <v>0</v>
      </c>
      <c r="FK198" s="15"/>
      <c r="FL198" s="15">
        <f t="shared" ref="FL198" si="987">FI198+FK198</f>
        <v>0</v>
      </c>
      <c r="FN198" s="15"/>
      <c r="FO198" s="15">
        <f t="shared" ref="FO198" si="988">FL198+FN198</f>
        <v>0</v>
      </c>
      <c r="FQ198" s="15"/>
      <c r="FR198" s="15">
        <v>0</v>
      </c>
      <c r="FT198" s="15"/>
      <c r="FV198" s="15"/>
      <c r="FY198" s="429"/>
    </row>
    <row r="199" spans="1:181" s="145" customFormat="1" ht="16.5" customHeight="1" thickBot="1">
      <c r="A199" s="54" t="s">
        <v>475</v>
      </c>
      <c r="B199" s="55" t="s">
        <v>316</v>
      </c>
      <c r="C199" s="283" t="s">
        <v>476</v>
      </c>
      <c r="D199" s="36"/>
      <c r="E199" s="51"/>
      <c r="F199" s="36"/>
      <c r="G199" s="51"/>
      <c r="H199" s="36"/>
      <c r="I199" s="36"/>
      <c r="J199" s="14"/>
      <c r="K199"/>
      <c r="L199" s="121"/>
      <c r="M199" s="176"/>
      <c r="N199" s="176"/>
      <c r="O199"/>
      <c r="P199"/>
      <c r="Q199" s="121"/>
      <c r="R199" s="121"/>
      <c r="S199" s="121"/>
      <c r="T199" s="121"/>
      <c r="U199" s="223"/>
      <c r="V199"/>
      <c r="W199"/>
      <c r="X199"/>
      <c r="Y199" s="121"/>
      <c r="Z199"/>
      <c r="AA199" s="121"/>
      <c r="AB199" s="121"/>
      <c r="AC199" s="188"/>
      <c r="AD199" s="188"/>
      <c r="AE199" s="121"/>
      <c r="AF199" s="187"/>
      <c r="AG199"/>
      <c r="AH199" s="121"/>
      <c r="AI199" s="224"/>
      <c r="AJ199"/>
      <c r="AK199" s="121"/>
      <c r="AL199" s="193"/>
      <c r="AM199" s="224"/>
      <c r="AN199" s="224"/>
      <c r="AO199"/>
      <c r="AP199"/>
      <c r="AQ199"/>
      <c r="AR199"/>
      <c r="AS199" s="121"/>
      <c r="AT199"/>
      <c r="AU199" s="122">
        <f>SUM(AU198)</f>
        <v>100000</v>
      </c>
      <c r="AV199" s="122">
        <f>SUM(AV198)</f>
        <v>100000</v>
      </c>
      <c r="AW199"/>
      <c r="AX199" s="122">
        <f>SUM(AX198)</f>
        <v>0</v>
      </c>
      <c r="AY199" s="122">
        <f>SUM(AY198)</f>
        <v>100000</v>
      </c>
      <c r="AZ199"/>
      <c r="BA199" s="122">
        <f>SUM(BA198)</f>
        <v>0</v>
      </c>
      <c r="BB199" s="122">
        <f>SUM(BB198)</f>
        <v>100000</v>
      </c>
      <c r="BC199"/>
      <c r="BD199" s="122">
        <f>SUM(BD198)</f>
        <v>0</v>
      </c>
      <c r="BE199" s="122">
        <f>SUM(BE198)</f>
        <v>100000</v>
      </c>
      <c r="BF199"/>
      <c r="BG199" s="122">
        <f>SUM(BG198)</f>
        <v>0</v>
      </c>
      <c r="BH199" s="122">
        <f>SUM(BH198)</f>
        <v>100000</v>
      </c>
      <c r="BI199"/>
      <c r="BJ199" s="122">
        <f>SUM(BJ198)</f>
        <v>100000</v>
      </c>
      <c r="BK199" s="236">
        <f t="shared" si="966"/>
        <v>1</v>
      </c>
      <c r="BL199" s="234"/>
      <c r="BM199" s="122">
        <f>SUM(BM198)</f>
        <v>0</v>
      </c>
      <c r="BN199" s="236">
        <f t="shared" si="967"/>
        <v>0</v>
      </c>
      <c r="BO199" s="236">
        <f t="shared" si="968"/>
        <v>0</v>
      </c>
      <c r="BP199"/>
      <c r="BQ199" s="122">
        <f>SUM(BQ198)</f>
        <v>0</v>
      </c>
      <c r="BR199" s="122">
        <f>SUM(BR198)</f>
        <v>0</v>
      </c>
      <c r="BS199"/>
      <c r="BT199" s="122">
        <f>SUM(BT198)</f>
        <v>0</v>
      </c>
      <c r="BU199" s="122">
        <f>SUM(BU198)</f>
        <v>0</v>
      </c>
      <c r="BV199"/>
      <c r="BW199" s="122">
        <f>SUM(BW198)</f>
        <v>0</v>
      </c>
      <c r="BX199" s="122">
        <f>SUM(BX198)</f>
        <v>0</v>
      </c>
      <c r="BY199"/>
      <c r="BZ199" s="122">
        <f>SUM(BZ198)</f>
        <v>0</v>
      </c>
      <c r="CA199" s="122">
        <f>SUM(CA198)</f>
        <v>0</v>
      </c>
      <c r="CB199"/>
      <c r="CC199" s="122">
        <f>SUM(CC198)</f>
        <v>0</v>
      </c>
      <c r="CD199" s="122">
        <f>SUM(CD198)</f>
        <v>0</v>
      </c>
      <c r="CE199"/>
      <c r="CF199" s="122">
        <f>SUM(CF198)</f>
        <v>0</v>
      </c>
      <c r="CG199" s="122">
        <f>SUM(CG198)</f>
        <v>0</v>
      </c>
      <c r="CH199"/>
      <c r="CI199" s="122">
        <f>SUM(CI198)</f>
        <v>0</v>
      </c>
      <c r="CJ199" s="122">
        <f>SUM(CJ198)</f>
        <v>0</v>
      </c>
      <c r="CK199"/>
      <c r="CL199" s="319">
        <f>SUM(CL198)</f>
        <v>0</v>
      </c>
      <c r="CM199" s="122">
        <f>SUM(CM198)</f>
        <v>0</v>
      </c>
      <c r="CN199"/>
      <c r="CO199" s="122">
        <f>SUM(CO198)</f>
        <v>0</v>
      </c>
      <c r="CP199" s="122">
        <f>SUM(CP198)</f>
        <v>0</v>
      </c>
      <c r="CQ199"/>
      <c r="CR199" s="122">
        <f>SUM(CR198)</f>
        <v>0</v>
      </c>
      <c r="CS199" s="122">
        <f>SUM(CS198)</f>
        <v>0</v>
      </c>
      <c r="CT199"/>
      <c r="CU199" s="122">
        <f>SUM(CU198)</f>
        <v>0</v>
      </c>
      <c r="CV199" s="122">
        <f>SUM(CV198)</f>
        <v>0</v>
      </c>
      <c r="CW199"/>
      <c r="CX199" s="122">
        <f>SUM(CX198)</f>
        <v>0</v>
      </c>
      <c r="CY199" s="122">
        <f>SUM(CY198)</f>
        <v>0</v>
      </c>
      <c r="CZ199"/>
      <c r="DA199" s="122">
        <f>SUM(DA198)</f>
        <v>0</v>
      </c>
      <c r="DB199"/>
      <c r="DC199" s="122">
        <f>SUM(DC198)</f>
        <v>0</v>
      </c>
      <c r="DD199"/>
      <c r="DE199" s="122">
        <f>SUM(DE198)</f>
        <v>0</v>
      </c>
      <c r="DF199" s="122">
        <f>SUM(DF198)</f>
        <v>0</v>
      </c>
      <c r="DG199"/>
      <c r="DH199" s="122">
        <f>SUM(DH198)</f>
        <v>0</v>
      </c>
      <c r="DI199" s="122">
        <f>SUM(DI198)</f>
        <v>0</v>
      </c>
      <c r="DJ199"/>
      <c r="DK199" s="122">
        <f>SUM(DK198)</f>
        <v>0</v>
      </c>
      <c r="DL199" s="122">
        <f>SUM(DL198)</f>
        <v>0</v>
      </c>
      <c r="DM199"/>
      <c r="DN199" s="122">
        <f>SUM(DN198)</f>
        <v>0</v>
      </c>
      <c r="DO199" s="122">
        <f>SUM(DO198)</f>
        <v>0</v>
      </c>
      <c r="DP199"/>
      <c r="DQ199" s="122">
        <f>SUM(DQ198)</f>
        <v>0</v>
      </c>
      <c r="DR199" s="122">
        <f>SUM(DR198)</f>
        <v>0</v>
      </c>
      <c r="DS199"/>
      <c r="DT199" s="122">
        <f>SUM(DT198)</f>
        <v>0</v>
      </c>
      <c r="DU199" s="122">
        <f>SUM(DU198)</f>
        <v>0</v>
      </c>
      <c r="DV199"/>
      <c r="DW199" s="122">
        <f>SUM(DW198)</f>
        <v>0</v>
      </c>
      <c r="DX199" s="122">
        <f>SUM(DX198)</f>
        <v>0</v>
      </c>
      <c r="DY199"/>
      <c r="DZ199" s="122">
        <f>SUM(DZ198)</f>
        <v>0</v>
      </c>
      <c r="EA199" s="122">
        <f>SUM(EA198)</f>
        <v>0</v>
      </c>
      <c r="EB199"/>
      <c r="EC199" s="122">
        <f>SUM(EC198)</f>
        <v>0</v>
      </c>
      <c r="ED199" s="122">
        <f>SUM(ED198)</f>
        <v>0</v>
      </c>
      <c r="EE199"/>
      <c r="EF199" s="122">
        <f>SUM(EF198)</f>
        <v>0</v>
      </c>
      <c r="EG199" s="122">
        <f>SUM(EG198)</f>
        <v>0</v>
      </c>
      <c r="EH199"/>
      <c r="EI199" s="122">
        <f>SUM(EI198)</f>
        <v>0</v>
      </c>
      <c r="EJ199"/>
      <c r="EK199" s="122">
        <f>SUM(EK198)</f>
        <v>0</v>
      </c>
      <c r="EL199"/>
      <c r="EM199" s="122">
        <f>SUM(EM198)</f>
        <v>0</v>
      </c>
      <c r="EN199" s="122">
        <f>SUM(EN198)</f>
        <v>0</v>
      </c>
      <c r="EO199"/>
      <c r="EP199" s="122">
        <f>SUM(EP198)</f>
        <v>0</v>
      </c>
      <c r="EQ199" s="122">
        <f>SUM(EQ198)</f>
        <v>0</v>
      </c>
      <c r="ER199"/>
      <c r="ES199" s="122">
        <f>SUM(ES198)</f>
        <v>0</v>
      </c>
      <c r="ET199" s="122">
        <f>SUM(ET198)</f>
        <v>0</v>
      </c>
      <c r="EU199"/>
      <c r="EV199" s="122">
        <f>SUM(EV198)</f>
        <v>0</v>
      </c>
      <c r="EW199" s="122">
        <f>SUM(EW198)</f>
        <v>0</v>
      </c>
      <c r="EX199"/>
      <c r="EY199" s="122">
        <f>SUM(EY198)</f>
        <v>0</v>
      </c>
      <c r="EZ199" s="122">
        <f>SUM(EZ198)</f>
        <v>0</v>
      </c>
      <c r="FB199" s="122">
        <f>SUM(FB198)</f>
        <v>0</v>
      </c>
      <c r="FC199" s="122">
        <f>SUM(FC198)</f>
        <v>0</v>
      </c>
      <c r="FE199" s="122">
        <f>SUM(FE198)</f>
        <v>0</v>
      </c>
      <c r="FF199" s="122">
        <f>SUM(FF198)</f>
        <v>0</v>
      </c>
      <c r="FH199" s="122">
        <f>SUM(FH198)</f>
        <v>0</v>
      </c>
      <c r="FI199" s="122">
        <f>SUM(FI198)</f>
        <v>0</v>
      </c>
      <c r="FK199" s="122">
        <f>SUM(FK198)</f>
        <v>0</v>
      </c>
      <c r="FL199" s="122">
        <f>SUM(FL198)</f>
        <v>0</v>
      </c>
      <c r="FN199" s="122">
        <f>SUM(FN198)</f>
        <v>0</v>
      </c>
      <c r="FO199" s="122">
        <f>SUM(FO198)</f>
        <v>0</v>
      </c>
      <c r="FQ199" s="122">
        <v>0</v>
      </c>
      <c r="FR199" s="122">
        <v>0</v>
      </c>
      <c r="FT199" s="122">
        <f>SUM(FT198)</f>
        <v>0</v>
      </c>
      <c r="FV199" s="122">
        <f>SUM(FV198)</f>
        <v>0</v>
      </c>
      <c r="FW199" s="235" t="e">
        <f t="shared" ref="FW199:FW228" si="989">FV199/FT199</f>
        <v>#DIV/0!</v>
      </c>
      <c r="FY199" s="429"/>
    </row>
    <row r="200" spans="1:181" ht="15.75" outlineLevel="1" thickTop="1">
      <c r="A200" s="1" t="s">
        <v>201</v>
      </c>
      <c r="B200" s="1" t="s">
        <v>202</v>
      </c>
      <c r="C200" s="4" t="s">
        <v>203</v>
      </c>
      <c r="D200" s="43">
        <v>2000</v>
      </c>
      <c r="E200" s="34">
        <v>31.55</v>
      </c>
      <c r="F200" s="43">
        <v>2000</v>
      </c>
      <c r="G200" s="34">
        <v>31.55</v>
      </c>
      <c r="H200" s="46">
        <v>631</v>
      </c>
      <c r="I200" s="36">
        <f>H200</f>
        <v>631</v>
      </c>
      <c r="J200" s="14"/>
      <c r="L200" s="118">
        <v>2000</v>
      </c>
      <c r="M200" s="17">
        <f t="shared" si="891"/>
        <v>0</v>
      </c>
      <c r="N200" s="17">
        <f t="shared" si="892"/>
        <v>2.1695721077654517</v>
      </c>
      <c r="Q200" s="118">
        <v>2000</v>
      </c>
      <c r="R200" s="15">
        <v>0</v>
      </c>
      <c r="S200" s="118">
        <v>2000</v>
      </c>
      <c r="T200" s="15">
        <f t="shared" ref="T200:T220" si="990">S200-Q200</f>
        <v>0</v>
      </c>
      <c r="U200" s="16">
        <f t="shared" si="934"/>
        <v>0</v>
      </c>
      <c r="Y200" s="118">
        <v>2000</v>
      </c>
      <c r="AA200" s="118">
        <v>500</v>
      </c>
      <c r="AB200" s="185">
        <f t="shared" ref="AB200:AB220" si="991">AA200-Y200</f>
        <v>-1500</v>
      </c>
      <c r="AC200" s="187">
        <f t="shared" ref="AC200:AC214" si="992">AA200-Y200</f>
        <v>-1500</v>
      </c>
      <c r="AD200" s="187"/>
      <c r="AE200" s="118">
        <v>500</v>
      </c>
      <c r="AF200" s="182"/>
      <c r="AH200" s="15">
        <v>404.2</v>
      </c>
      <c r="AI200" s="17">
        <f t="shared" si="935"/>
        <v>0.80840000000000001</v>
      </c>
      <c r="AK200" s="118">
        <v>2000</v>
      </c>
      <c r="AS200" s="15">
        <f t="shared" ref="AS200:AS213" si="993">AR200+AK200</f>
        <v>2000</v>
      </c>
      <c r="AV200" s="15">
        <f t="shared" si="961"/>
        <v>2000</v>
      </c>
      <c r="AX200" s="15"/>
      <c r="AY200" s="15">
        <f t="shared" ref="AY200:AY213" si="994">AV200+AX200</f>
        <v>2000</v>
      </c>
      <c r="BB200" s="15">
        <f t="shared" ref="BB200:BB213" si="995">AY200+BA200</f>
        <v>2000</v>
      </c>
      <c r="BD200" s="15"/>
      <c r="BE200" s="15">
        <f t="shared" ref="BE200:BE213" si="996">BB200+BD200</f>
        <v>2000</v>
      </c>
      <c r="BG200" s="15"/>
      <c r="BH200" s="15">
        <f t="shared" ref="BH200:BH213" si="997">BE200+BG200</f>
        <v>2000</v>
      </c>
      <c r="BJ200" s="15">
        <v>0</v>
      </c>
      <c r="BK200" s="235">
        <f t="shared" ref="BK200:BK213" si="998">BJ200/BH200</f>
        <v>0</v>
      </c>
      <c r="BM200" s="15">
        <v>0</v>
      </c>
      <c r="BN200" s="235" t="e">
        <f t="shared" si="967"/>
        <v>#DIV/0!</v>
      </c>
      <c r="BO200" s="235">
        <f t="shared" si="968"/>
        <v>0</v>
      </c>
      <c r="BQ200" s="15"/>
      <c r="BR200" s="15">
        <f t="shared" ref="BR200:BR220" si="999">BM200+BQ200</f>
        <v>0</v>
      </c>
      <c r="BT200" s="15"/>
      <c r="BU200" s="15">
        <f t="shared" ref="BU200:BU220" si="1000">BR200+BT200</f>
        <v>0</v>
      </c>
      <c r="BW200" s="15"/>
      <c r="BX200" s="15">
        <f t="shared" ref="BX200:BX220" si="1001">BU200+BW200</f>
        <v>0</v>
      </c>
      <c r="BZ200" s="15"/>
      <c r="CA200" s="15">
        <f t="shared" ref="CA200:CA220" si="1002">BX200+BZ200</f>
        <v>0</v>
      </c>
      <c r="CC200" s="15"/>
      <c r="CD200" s="15">
        <f t="shared" ref="CD200:CD220" si="1003">CA200+CC200</f>
        <v>0</v>
      </c>
      <c r="CF200" s="15"/>
      <c r="CG200" s="15">
        <f t="shared" ref="CG200:CG220" si="1004">CD200+CF200</f>
        <v>0</v>
      </c>
      <c r="CI200" s="15"/>
      <c r="CJ200" s="15">
        <f t="shared" ref="CJ200:CJ220" si="1005">CG200+CI200</f>
        <v>0</v>
      </c>
      <c r="CM200" s="15">
        <f t="shared" ref="CM200:CM220" si="1006">CJ200+CL200</f>
        <v>0</v>
      </c>
      <c r="CP200" s="15">
        <f t="shared" ref="CP200:CP220" si="1007">CM200+CO200</f>
        <v>0</v>
      </c>
      <c r="CS200" s="15">
        <f t="shared" ref="CS200:CS220" si="1008">CP200+CR200</f>
        <v>0</v>
      </c>
      <c r="CV200" s="15">
        <f t="shared" ref="CV200:CV220" si="1009">CS200+CU200</f>
        <v>0</v>
      </c>
      <c r="CY200" s="15">
        <f t="shared" ref="CY200:CY220" si="1010">CV200+CX200</f>
        <v>0</v>
      </c>
      <c r="DC200" s="15">
        <v>5000</v>
      </c>
      <c r="DE200" s="15"/>
      <c r="DF200" s="15">
        <f t="shared" ref="DF200:DF201" si="1011">DC200+DE200</f>
        <v>5000</v>
      </c>
      <c r="DH200" s="15"/>
      <c r="DI200" s="15">
        <f t="shared" ref="DI200:DI201" si="1012">DF200+DH200</f>
        <v>5000</v>
      </c>
      <c r="DK200" s="15"/>
      <c r="DL200" s="15">
        <f t="shared" ref="DL200:DL201" si="1013">DI200+DK200</f>
        <v>5000</v>
      </c>
      <c r="DN200" s="15"/>
      <c r="DO200" s="15">
        <f t="shared" ref="DO200:DO201" si="1014">DL200+DN200</f>
        <v>5000</v>
      </c>
      <c r="DQ200" s="15"/>
      <c r="DR200" s="15">
        <f t="shared" ref="DR200:DR201" si="1015">DO200+DQ200</f>
        <v>5000</v>
      </c>
      <c r="DT200" s="15"/>
      <c r="DU200" s="15">
        <f t="shared" ref="DU200:DU201" si="1016">DR200+DT200</f>
        <v>5000</v>
      </c>
      <c r="DW200" s="15"/>
      <c r="DX200" s="15">
        <f t="shared" ref="DX200:DX201" si="1017">DU200+DW200</f>
        <v>5000</v>
      </c>
      <c r="DZ200" s="15"/>
      <c r="EA200" s="15">
        <f t="shared" ref="EA200:EA201" si="1018">DX200+DZ200</f>
        <v>5000</v>
      </c>
      <c r="EC200" s="15"/>
      <c r="ED200" s="15">
        <f t="shared" ref="ED200:ED201" si="1019">EA200+EC200</f>
        <v>5000</v>
      </c>
      <c r="EF200" s="227">
        <v>-1500</v>
      </c>
      <c r="EG200" s="15">
        <f t="shared" ref="EG200:EG201" si="1020">ED200+EF200</f>
        <v>3500</v>
      </c>
      <c r="EI200" s="15">
        <v>3376.36</v>
      </c>
      <c r="EK200" s="15">
        <v>3500</v>
      </c>
      <c r="EM200" s="15"/>
      <c r="EN200" s="15">
        <f t="shared" ref="EN200:EN201" si="1021">EK200+EM200</f>
        <v>3500</v>
      </c>
      <c r="EP200" s="15"/>
      <c r="EQ200" s="15">
        <f t="shared" ref="EQ200:EQ201" si="1022">EN200+EP200</f>
        <v>3500</v>
      </c>
      <c r="ES200" s="15"/>
      <c r="ET200" s="15">
        <f t="shared" ref="ET200:ET201" si="1023">EQ200+ES200</f>
        <v>3500</v>
      </c>
      <c r="EW200" s="15">
        <f t="shared" ref="EW200:EW201" si="1024">ET200+EV200</f>
        <v>3500</v>
      </c>
      <c r="EZ200" s="15">
        <f t="shared" ref="EZ200:EZ201" si="1025">EW200+EY200</f>
        <v>3500</v>
      </c>
      <c r="FC200" s="15">
        <f t="shared" ref="FC200:FC201" si="1026">EZ200+FB200</f>
        <v>3500</v>
      </c>
      <c r="FF200" s="15">
        <f t="shared" ref="FF200:FF201" si="1027">FC200+FE200</f>
        <v>3500</v>
      </c>
      <c r="FH200" s="227">
        <v>3000</v>
      </c>
      <c r="FI200" s="15">
        <f t="shared" ref="FI200:FI201" si="1028">FF200+FH200</f>
        <v>6500</v>
      </c>
      <c r="FK200" s="227">
        <v>12000</v>
      </c>
      <c r="FL200" s="15">
        <f t="shared" ref="FL200:FL201" si="1029">FI200+FK200</f>
        <v>18500</v>
      </c>
      <c r="FO200" s="15">
        <f t="shared" ref="FO200:FO201" si="1030">FL200+FN200</f>
        <v>18500</v>
      </c>
      <c r="FR200" s="15">
        <v>18500</v>
      </c>
      <c r="FT200" s="15">
        <v>8282.08</v>
      </c>
      <c r="FV200" s="15">
        <v>8000</v>
      </c>
      <c r="FW200" s="235">
        <f t="shared" si="989"/>
        <v>0.96594092305314605</v>
      </c>
    </row>
    <row r="201" spans="1:181" outlineLevel="1">
      <c r="A201" s="1" t="s">
        <v>201</v>
      </c>
      <c r="B201" s="1" t="s">
        <v>204</v>
      </c>
      <c r="C201" s="4" t="s">
        <v>205</v>
      </c>
      <c r="D201" s="43">
        <v>500</v>
      </c>
      <c r="E201" s="34">
        <v>43</v>
      </c>
      <c r="F201" s="43">
        <v>500</v>
      </c>
      <c r="G201" s="34">
        <v>43</v>
      </c>
      <c r="H201" s="46">
        <v>215</v>
      </c>
      <c r="I201" s="36">
        <f>H201</f>
        <v>215</v>
      </c>
      <c r="J201" s="14"/>
      <c r="L201" s="118">
        <v>500</v>
      </c>
      <c r="M201" s="17">
        <f t="shared" si="891"/>
        <v>0</v>
      </c>
      <c r="N201" s="17">
        <f t="shared" si="892"/>
        <v>1.3255813953488373</v>
      </c>
      <c r="Q201" s="118">
        <v>500</v>
      </c>
      <c r="R201" s="15">
        <v>0</v>
      </c>
      <c r="S201" s="118">
        <v>500</v>
      </c>
      <c r="T201" s="15">
        <f t="shared" si="990"/>
        <v>0</v>
      </c>
      <c r="U201" s="16">
        <f t="shared" si="934"/>
        <v>0</v>
      </c>
      <c r="Y201" s="118">
        <v>500</v>
      </c>
      <c r="AA201" s="118">
        <v>150</v>
      </c>
      <c r="AB201" s="185">
        <f t="shared" si="991"/>
        <v>-350</v>
      </c>
      <c r="AC201" s="187">
        <f t="shared" si="992"/>
        <v>-350</v>
      </c>
      <c r="AD201" s="187"/>
      <c r="AE201" s="118">
        <v>150</v>
      </c>
      <c r="AF201" s="182"/>
      <c r="AH201" s="15">
        <v>136.80000000000001</v>
      </c>
      <c r="AI201" s="17">
        <f t="shared" si="935"/>
        <v>0.91200000000000003</v>
      </c>
      <c r="AK201" s="118">
        <v>600</v>
      </c>
      <c r="AS201" s="15">
        <f t="shared" si="993"/>
        <v>600</v>
      </c>
      <c r="AV201" s="15">
        <f t="shared" si="961"/>
        <v>600</v>
      </c>
      <c r="AX201" s="15"/>
      <c r="AY201" s="15">
        <f t="shared" si="994"/>
        <v>600</v>
      </c>
      <c r="BB201" s="15">
        <f t="shared" si="995"/>
        <v>600</v>
      </c>
      <c r="BD201" s="15"/>
      <c r="BE201" s="15">
        <f t="shared" si="996"/>
        <v>600</v>
      </c>
      <c r="BG201" s="15"/>
      <c r="BH201" s="15">
        <f t="shared" si="997"/>
        <v>600</v>
      </c>
      <c r="BJ201" s="15">
        <v>0</v>
      </c>
      <c r="BK201" s="235">
        <f t="shared" si="998"/>
        <v>0</v>
      </c>
      <c r="BM201" s="15">
        <v>0</v>
      </c>
      <c r="BN201" s="235" t="e">
        <f t="shared" si="967"/>
        <v>#DIV/0!</v>
      </c>
      <c r="BO201" s="235">
        <f t="shared" si="968"/>
        <v>0</v>
      </c>
      <c r="BQ201" s="15"/>
      <c r="BR201" s="15">
        <f t="shared" si="999"/>
        <v>0</v>
      </c>
      <c r="BT201" s="15"/>
      <c r="BU201" s="15">
        <f t="shared" si="1000"/>
        <v>0</v>
      </c>
      <c r="BW201" s="15"/>
      <c r="BX201" s="15">
        <f t="shared" si="1001"/>
        <v>0</v>
      </c>
      <c r="BZ201" s="15"/>
      <c r="CA201" s="15">
        <f t="shared" si="1002"/>
        <v>0</v>
      </c>
      <c r="CC201" s="15"/>
      <c r="CD201" s="15">
        <f t="shared" si="1003"/>
        <v>0</v>
      </c>
      <c r="CF201" s="15"/>
      <c r="CG201" s="15">
        <f t="shared" si="1004"/>
        <v>0</v>
      </c>
      <c r="CI201" s="15"/>
      <c r="CJ201" s="15">
        <f t="shared" si="1005"/>
        <v>0</v>
      </c>
      <c r="CM201" s="15">
        <f t="shared" si="1006"/>
        <v>0</v>
      </c>
      <c r="CP201" s="15">
        <f t="shared" si="1007"/>
        <v>0</v>
      </c>
      <c r="CS201" s="15">
        <f t="shared" si="1008"/>
        <v>0</v>
      </c>
      <c r="CV201" s="15">
        <f t="shared" si="1009"/>
        <v>0</v>
      </c>
      <c r="CY201" s="15">
        <f t="shared" si="1010"/>
        <v>0</v>
      </c>
      <c r="DE201" s="15"/>
      <c r="DF201" s="15">
        <f t="shared" si="1011"/>
        <v>0</v>
      </c>
      <c r="DH201" s="15"/>
      <c r="DI201" s="15">
        <f t="shared" si="1012"/>
        <v>0</v>
      </c>
      <c r="DK201" s="15"/>
      <c r="DL201" s="15">
        <f t="shared" si="1013"/>
        <v>0</v>
      </c>
      <c r="DN201" s="15"/>
      <c r="DO201" s="15">
        <f t="shared" si="1014"/>
        <v>0</v>
      </c>
      <c r="DQ201" s="227">
        <v>1000</v>
      </c>
      <c r="DR201" s="15">
        <f t="shared" si="1015"/>
        <v>1000</v>
      </c>
      <c r="DT201" s="15"/>
      <c r="DU201" s="15">
        <f t="shared" si="1016"/>
        <v>1000</v>
      </c>
      <c r="DW201" s="15"/>
      <c r="DX201" s="15">
        <f t="shared" si="1017"/>
        <v>1000</v>
      </c>
      <c r="DZ201" s="227">
        <v>150</v>
      </c>
      <c r="EA201" s="15">
        <f t="shared" si="1018"/>
        <v>1150</v>
      </c>
      <c r="EC201" s="15"/>
      <c r="ED201" s="15">
        <f t="shared" si="1019"/>
        <v>1150</v>
      </c>
      <c r="EF201" s="15"/>
      <c r="EG201" s="15">
        <f t="shared" si="1020"/>
        <v>1150</v>
      </c>
      <c r="EI201" s="15">
        <v>1141.6400000000001</v>
      </c>
      <c r="EK201" s="15">
        <v>1200</v>
      </c>
      <c r="EM201" s="15"/>
      <c r="EN201" s="15">
        <f t="shared" si="1021"/>
        <v>1200</v>
      </c>
      <c r="EP201" s="15"/>
      <c r="EQ201" s="15">
        <f t="shared" si="1022"/>
        <v>1200</v>
      </c>
      <c r="ES201" s="15"/>
      <c r="ET201" s="15">
        <f t="shared" si="1023"/>
        <v>1200</v>
      </c>
      <c r="EW201" s="15">
        <f t="shared" si="1024"/>
        <v>1200</v>
      </c>
      <c r="EZ201" s="15">
        <f t="shared" si="1025"/>
        <v>1200</v>
      </c>
      <c r="FC201" s="15">
        <f t="shared" si="1026"/>
        <v>1200</v>
      </c>
      <c r="FF201" s="15">
        <f t="shared" si="1027"/>
        <v>1200</v>
      </c>
      <c r="FH201" s="227">
        <v>1000</v>
      </c>
      <c r="FI201" s="15">
        <f t="shared" si="1028"/>
        <v>2200</v>
      </c>
      <c r="FK201" s="227">
        <v>3000</v>
      </c>
      <c r="FL201" s="15">
        <f t="shared" si="1029"/>
        <v>5200</v>
      </c>
      <c r="FO201" s="15">
        <f t="shared" si="1030"/>
        <v>5200</v>
      </c>
      <c r="FR201" s="15">
        <v>5200</v>
      </c>
      <c r="FT201" s="15">
        <v>2799.92</v>
      </c>
      <c r="FV201" s="15">
        <v>3000</v>
      </c>
      <c r="FW201" s="235">
        <f t="shared" si="989"/>
        <v>1.0714591845481298</v>
      </c>
    </row>
    <row r="202" spans="1:181" outlineLevel="1">
      <c r="A202" s="1" t="s">
        <v>201</v>
      </c>
      <c r="B202" s="1" t="s">
        <v>189</v>
      </c>
      <c r="C202" s="4" t="s">
        <v>190</v>
      </c>
      <c r="D202" s="43"/>
      <c r="E202" s="34"/>
      <c r="F202" s="43"/>
      <c r="G202" s="34"/>
      <c r="H202" s="46"/>
      <c r="I202" s="36"/>
      <c r="J202" s="14"/>
      <c r="M202" s="17"/>
      <c r="N202" s="17"/>
      <c r="U202" s="16"/>
      <c r="Y202" s="118"/>
      <c r="AB202" s="185"/>
      <c r="AC202" s="187"/>
      <c r="AD202" s="187"/>
      <c r="AF202" s="182"/>
      <c r="AH202" s="15"/>
      <c r="AI202" s="17"/>
      <c r="AS202" s="15"/>
      <c r="AV202" s="15"/>
      <c r="AX202" s="15"/>
      <c r="AY202" s="15"/>
      <c r="BB202" s="15"/>
      <c r="BD202" s="15"/>
      <c r="BE202" s="15"/>
      <c r="BG202" s="15"/>
      <c r="BH202" s="15"/>
      <c r="BK202" s="235"/>
      <c r="BM202" s="15"/>
      <c r="BN202" s="235"/>
      <c r="BO202" s="235"/>
      <c r="BQ202" s="15"/>
      <c r="BR202" s="15"/>
      <c r="BT202" s="15"/>
      <c r="BU202" s="15"/>
      <c r="BW202" s="15"/>
      <c r="BX202" s="15"/>
      <c r="BZ202" s="15"/>
      <c r="CA202" s="15"/>
      <c r="CC202" s="15"/>
      <c r="CD202" s="15"/>
      <c r="CF202" s="15"/>
      <c r="CG202" s="15"/>
      <c r="CI202" s="15"/>
      <c r="CJ202" s="15"/>
      <c r="CM202" s="15"/>
      <c r="CO202" s="15">
        <v>2500</v>
      </c>
      <c r="CP202" s="15">
        <f t="shared" si="1007"/>
        <v>2500</v>
      </c>
      <c r="CS202" s="15">
        <f t="shared" si="1008"/>
        <v>2500</v>
      </c>
      <c r="CV202" s="15">
        <f t="shared" si="1009"/>
        <v>2500</v>
      </c>
      <c r="CY202" s="15">
        <f t="shared" si="1010"/>
        <v>2500</v>
      </c>
      <c r="DA202" s="15">
        <v>2244</v>
      </c>
      <c r="DE202" s="15"/>
      <c r="DF202" s="15"/>
      <c r="DH202" s="15"/>
      <c r="DI202" s="15"/>
      <c r="DK202" s="15"/>
      <c r="DL202" s="15"/>
      <c r="DN202" s="15"/>
      <c r="DO202" s="15"/>
      <c r="DQ202" s="15"/>
      <c r="DR202" s="15"/>
      <c r="DT202" s="15"/>
      <c r="DU202" s="15"/>
      <c r="DW202" s="15"/>
      <c r="DX202" s="15"/>
      <c r="DZ202" s="15"/>
      <c r="EA202" s="15"/>
      <c r="EC202" s="15"/>
      <c r="ED202" s="15"/>
      <c r="EF202" s="15"/>
      <c r="EG202" s="15"/>
      <c r="EK202" s="15"/>
      <c r="EM202" s="15"/>
      <c r="EN202" s="15"/>
      <c r="EP202" s="15"/>
      <c r="EQ202" s="15"/>
      <c r="ES202" s="15"/>
      <c r="ET202" s="15"/>
      <c r="EW202" s="15"/>
      <c r="EZ202" s="15"/>
      <c r="FC202" s="15"/>
      <c r="FF202" s="15"/>
      <c r="FI202" s="15"/>
      <c r="FL202" s="15"/>
      <c r="FO202" s="15"/>
      <c r="FR202" s="15"/>
      <c r="FW202" s="235" t="e">
        <f t="shared" si="989"/>
        <v>#DIV/0!</v>
      </c>
    </row>
    <row r="203" spans="1:181" outlineLevel="1">
      <c r="A203" s="1" t="s">
        <v>201</v>
      </c>
      <c r="B203" s="1" t="s">
        <v>113</v>
      </c>
      <c r="C203" s="4" t="s">
        <v>114</v>
      </c>
      <c r="D203" s="43">
        <v>30000</v>
      </c>
      <c r="E203" s="34">
        <v>73.739999999999995</v>
      </c>
      <c r="F203" s="43">
        <v>30000</v>
      </c>
      <c r="G203" s="34">
        <v>73.739999999999995</v>
      </c>
      <c r="H203" s="46">
        <v>22122</v>
      </c>
      <c r="I203" s="36">
        <f>H203</f>
        <v>22122</v>
      </c>
      <c r="J203" s="14"/>
      <c r="L203" s="118">
        <f>'[1]2020'!$Q$61</f>
        <v>20000</v>
      </c>
      <c r="M203" s="17">
        <f>L203/F203-1</f>
        <v>-0.33333333333333337</v>
      </c>
      <c r="N203" s="17">
        <f>L203/I203-1</f>
        <v>-9.5922610975499478E-2</v>
      </c>
      <c r="Q203" s="118">
        <v>20000</v>
      </c>
      <c r="R203" s="15">
        <v>19649</v>
      </c>
      <c r="S203" s="158">
        <f>19700+12000</f>
        <v>31700</v>
      </c>
      <c r="T203" s="15">
        <f t="shared" si="990"/>
        <v>11700</v>
      </c>
      <c r="U203" s="16">
        <f t="shared" si="934"/>
        <v>0.58499999999999996</v>
      </c>
      <c r="Y203" s="118">
        <f>19700+12000</f>
        <v>31700</v>
      </c>
      <c r="AA203" s="118">
        <v>31700</v>
      </c>
      <c r="AB203" s="185">
        <f t="shared" si="991"/>
        <v>0</v>
      </c>
      <c r="AC203" s="187">
        <f t="shared" si="992"/>
        <v>0</v>
      </c>
      <c r="AD203" s="187"/>
      <c r="AE203" s="118">
        <v>31700</v>
      </c>
      <c r="AF203" s="182"/>
      <c r="AH203" s="15">
        <v>31507</v>
      </c>
      <c r="AI203" s="17">
        <f t="shared" si="935"/>
        <v>0.9939116719242902</v>
      </c>
      <c r="AK203" s="118">
        <v>0</v>
      </c>
      <c r="AS203" s="15">
        <f t="shared" si="993"/>
        <v>0</v>
      </c>
      <c r="AV203" s="15">
        <f t="shared" si="961"/>
        <v>0</v>
      </c>
      <c r="AX203" s="15"/>
      <c r="AY203" s="15">
        <f t="shared" si="994"/>
        <v>0</v>
      </c>
      <c r="BB203" s="15">
        <f t="shared" si="995"/>
        <v>0</v>
      </c>
      <c r="BD203" s="15"/>
      <c r="BE203" s="15">
        <f t="shared" si="996"/>
        <v>0</v>
      </c>
      <c r="BG203" s="15"/>
      <c r="BH203" s="15">
        <f t="shared" si="997"/>
        <v>0</v>
      </c>
      <c r="BJ203" s="15">
        <v>0</v>
      </c>
      <c r="BK203" s="235" t="e">
        <f t="shared" si="998"/>
        <v>#DIV/0!</v>
      </c>
      <c r="BM203" s="15">
        <f>29000+3500</f>
        <v>32500</v>
      </c>
      <c r="BN203" s="235" t="e">
        <f t="shared" si="967"/>
        <v>#DIV/0!</v>
      </c>
      <c r="BO203" s="235" t="e">
        <f t="shared" si="968"/>
        <v>#DIV/0!</v>
      </c>
      <c r="BQ203" s="227">
        <v>-1000</v>
      </c>
      <c r="BR203" s="15">
        <f t="shared" si="999"/>
        <v>31500</v>
      </c>
      <c r="BT203" s="15"/>
      <c r="BU203" s="15">
        <f t="shared" si="1000"/>
        <v>31500</v>
      </c>
      <c r="BW203" s="15"/>
      <c r="BX203" s="15">
        <f t="shared" si="1001"/>
        <v>31500</v>
      </c>
      <c r="BZ203" s="15"/>
      <c r="CA203" s="15">
        <f t="shared" si="1002"/>
        <v>31500</v>
      </c>
      <c r="CC203" s="15"/>
      <c r="CD203" s="15">
        <f t="shared" si="1003"/>
        <v>31500</v>
      </c>
      <c r="CF203" s="15"/>
      <c r="CG203" s="15">
        <f t="shared" si="1004"/>
        <v>31500</v>
      </c>
      <c r="CI203" s="15"/>
      <c r="CJ203" s="15">
        <f t="shared" si="1005"/>
        <v>31500</v>
      </c>
      <c r="CM203" s="15">
        <f t="shared" si="1006"/>
        <v>31500</v>
      </c>
      <c r="CP203" s="15">
        <f t="shared" si="1007"/>
        <v>31500</v>
      </c>
      <c r="CS203" s="15">
        <f t="shared" si="1008"/>
        <v>31500</v>
      </c>
      <c r="CU203" s="227">
        <v>-4000</v>
      </c>
      <c r="CV203" s="15">
        <f t="shared" si="1009"/>
        <v>27500</v>
      </c>
      <c r="CX203" s="227"/>
      <c r="CY203" s="15">
        <f t="shared" si="1010"/>
        <v>27500</v>
      </c>
      <c r="DA203" s="15">
        <v>27490</v>
      </c>
      <c r="DC203" s="15">
        <v>30000</v>
      </c>
      <c r="DE203" s="15"/>
      <c r="DF203" s="15">
        <f t="shared" ref="DF203:DF213" si="1031">DC203+DE203</f>
        <v>30000</v>
      </c>
      <c r="DH203" s="15"/>
      <c r="DI203" s="15">
        <f t="shared" ref="DI203:DI213" si="1032">DF203+DH203</f>
        <v>30000</v>
      </c>
      <c r="DK203" s="15"/>
      <c r="DL203" s="15">
        <f t="shared" ref="DL203:DL213" si="1033">DI203+DK203</f>
        <v>30000</v>
      </c>
      <c r="DN203" s="15"/>
      <c r="DO203" s="15">
        <f t="shared" ref="DO203:DO213" si="1034">DL203+DN203</f>
        <v>30000</v>
      </c>
      <c r="DQ203" s="15"/>
      <c r="DR203" s="15">
        <f t="shared" ref="DR203:DR213" si="1035">DO203+DQ203</f>
        <v>30000</v>
      </c>
      <c r="DT203" s="227">
        <v>5000</v>
      </c>
      <c r="DU203" s="15">
        <f t="shared" ref="DU203:DU213" si="1036">DR203+DT203</f>
        <v>35000</v>
      </c>
      <c r="DW203" s="15"/>
      <c r="DX203" s="15">
        <f t="shared" ref="DX203:DX213" si="1037">DU203+DW203</f>
        <v>35000</v>
      </c>
      <c r="DZ203" s="15"/>
      <c r="EA203" s="15">
        <f t="shared" ref="EA203:EA213" si="1038">DX203+DZ203</f>
        <v>35000</v>
      </c>
      <c r="EC203" s="227">
        <v>-1000</v>
      </c>
      <c r="ED203" s="15">
        <f t="shared" ref="ED203:ED213" si="1039">EA203+EC203</f>
        <v>34000</v>
      </c>
      <c r="EF203" s="15"/>
      <c r="EG203" s="15">
        <f t="shared" ref="EG203:EG213" si="1040">ED203+EF203</f>
        <v>34000</v>
      </c>
      <c r="EI203" s="15">
        <v>33224</v>
      </c>
      <c r="EK203" s="15">
        <v>25000</v>
      </c>
      <c r="EM203" s="15"/>
      <c r="EN203" s="15">
        <f t="shared" ref="EN203:EN213" si="1041">EK203+EM203</f>
        <v>25000</v>
      </c>
      <c r="EP203" s="15"/>
      <c r="EQ203" s="15">
        <f t="shared" ref="EQ203:EQ213" si="1042">EN203+EP203</f>
        <v>25000</v>
      </c>
      <c r="ES203" s="227">
        <v>-800</v>
      </c>
      <c r="ET203" s="15">
        <f t="shared" ref="ET203:ET213" si="1043">EQ203+ES203</f>
        <v>24200</v>
      </c>
      <c r="EV203" s="227">
        <v>-24200</v>
      </c>
      <c r="EW203" s="15">
        <f t="shared" ref="EW203:EW213" si="1044">ET203+EV203</f>
        <v>0</v>
      </c>
      <c r="EZ203" s="15">
        <f t="shared" ref="EZ203:EZ213" si="1045">EW203+EY203</f>
        <v>0</v>
      </c>
      <c r="FC203" s="15">
        <f t="shared" ref="FC203:FC213" si="1046">EZ203+FB203</f>
        <v>0</v>
      </c>
      <c r="FF203" s="15">
        <f t="shared" ref="FF203:FF209" si="1047">FC203+FE203</f>
        <v>0</v>
      </c>
      <c r="FI203" s="15">
        <f t="shared" ref="FI203:FI209" si="1048">FF203+FH203</f>
        <v>0</v>
      </c>
      <c r="FL203" s="15">
        <f>FI203+FK203</f>
        <v>0</v>
      </c>
      <c r="FO203" s="15">
        <f>FL203+FN203</f>
        <v>0</v>
      </c>
      <c r="FR203" s="15">
        <v>0</v>
      </c>
      <c r="FT203" s="15">
        <v>0</v>
      </c>
      <c r="FV203" s="227">
        <v>30000</v>
      </c>
      <c r="FW203" s="235" t="e">
        <f t="shared" si="989"/>
        <v>#DIV/0!</v>
      </c>
      <c r="FY203" s="15">
        <v>26000</v>
      </c>
    </row>
    <row r="204" spans="1:181" outlineLevel="1">
      <c r="A204" s="1" t="s">
        <v>201</v>
      </c>
      <c r="B204" s="1" t="s">
        <v>146</v>
      </c>
      <c r="C204" s="4" t="s">
        <v>147</v>
      </c>
      <c r="D204" s="43">
        <v>20000</v>
      </c>
      <c r="E204" s="34">
        <v>105.09</v>
      </c>
      <c r="F204" s="43">
        <v>34600</v>
      </c>
      <c r="G204" s="34">
        <v>60.75</v>
      </c>
      <c r="H204" s="46">
        <v>21018.5</v>
      </c>
      <c r="I204" s="36">
        <f>H204</f>
        <v>21018.5</v>
      </c>
      <c r="J204" s="14"/>
      <c r="L204" s="118">
        <f>'[1]2020'!$Q$61</f>
        <v>20000</v>
      </c>
      <c r="M204" s="17">
        <f>L204/F204-1</f>
        <v>-0.4219653179190751</v>
      </c>
      <c r="N204" s="17">
        <f>L204/I204-1</f>
        <v>-4.8457311416133408E-2</v>
      </c>
      <c r="Q204" s="118">
        <v>30500</v>
      </c>
      <c r="R204" s="15">
        <v>758</v>
      </c>
      <c r="S204" s="158">
        <v>15500</v>
      </c>
      <c r="T204" s="15">
        <f t="shared" si="990"/>
        <v>-15000</v>
      </c>
      <c r="U204" s="16">
        <f t="shared" si="934"/>
        <v>-0.49180327868852458</v>
      </c>
      <c r="Y204" s="118">
        <v>13000</v>
      </c>
      <c r="AA204" s="118">
        <v>1000</v>
      </c>
      <c r="AB204" s="185">
        <f t="shared" si="991"/>
        <v>-12000</v>
      </c>
      <c r="AC204" s="187">
        <f t="shared" si="992"/>
        <v>-12000</v>
      </c>
      <c r="AD204" s="187"/>
      <c r="AE204" s="118">
        <v>1000</v>
      </c>
      <c r="AF204" s="182"/>
      <c r="AH204" s="15">
        <v>758</v>
      </c>
      <c r="AI204" s="17">
        <f t="shared" si="935"/>
        <v>0.75800000000000001</v>
      </c>
      <c r="AK204" s="118">
        <v>14000</v>
      </c>
      <c r="AS204" s="15">
        <f t="shared" si="993"/>
        <v>14000</v>
      </c>
      <c r="AV204" s="15">
        <f t="shared" si="961"/>
        <v>14000</v>
      </c>
      <c r="AX204" s="15"/>
      <c r="AY204" s="15">
        <f t="shared" si="994"/>
        <v>14000</v>
      </c>
      <c r="BB204" s="15">
        <f t="shared" si="995"/>
        <v>14000</v>
      </c>
      <c r="BD204" s="15">
        <v>3000</v>
      </c>
      <c r="BE204" s="15">
        <f t="shared" si="996"/>
        <v>17000</v>
      </c>
      <c r="BG204" s="15"/>
      <c r="BH204" s="15">
        <f t="shared" si="997"/>
        <v>17000</v>
      </c>
      <c r="BJ204" s="15">
        <v>15001</v>
      </c>
      <c r="BK204" s="235">
        <f t="shared" si="998"/>
        <v>0.88241176470588234</v>
      </c>
      <c r="BM204" s="15">
        <f>6000+1500+500</f>
        <v>8000</v>
      </c>
      <c r="BN204" s="235">
        <f t="shared" si="967"/>
        <v>0.53329778014799012</v>
      </c>
      <c r="BO204" s="235">
        <f t="shared" si="968"/>
        <v>0.47058823529411764</v>
      </c>
      <c r="BQ204" s="15"/>
      <c r="BR204" s="15">
        <f t="shared" si="999"/>
        <v>8000</v>
      </c>
      <c r="BT204" s="15"/>
      <c r="BU204" s="15">
        <f t="shared" si="1000"/>
        <v>8000</v>
      </c>
      <c r="BW204" s="15"/>
      <c r="BX204" s="15">
        <f t="shared" si="1001"/>
        <v>8000</v>
      </c>
      <c r="BZ204" s="15"/>
      <c r="CA204" s="15">
        <f t="shared" si="1002"/>
        <v>8000</v>
      </c>
      <c r="CC204" s="15"/>
      <c r="CD204" s="15">
        <f t="shared" si="1003"/>
        <v>8000</v>
      </c>
      <c r="CF204" s="15"/>
      <c r="CG204" s="15">
        <f t="shared" si="1004"/>
        <v>8000</v>
      </c>
      <c r="CI204" s="15"/>
      <c r="CJ204" s="15">
        <f t="shared" si="1005"/>
        <v>8000</v>
      </c>
      <c r="CM204" s="15">
        <f t="shared" si="1006"/>
        <v>8000</v>
      </c>
      <c r="CP204" s="15">
        <f t="shared" si="1007"/>
        <v>8000</v>
      </c>
      <c r="CS204" s="15">
        <f t="shared" si="1008"/>
        <v>8000</v>
      </c>
      <c r="CU204" s="227">
        <v>-5500</v>
      </c>
      <c r="CV204" s="15">
        <f t="shared" si="1009"/>
        <v>2500</v>
      </c>
      <c r="CX204" s="227"/>
      <c r="CY204" s="15">
        <f t="shared" si="1010"/>
        <v>2500</v>
      </c>
      <c r="DA204" s="15">
        <v>2081</v>
      </c>
      <c r="DC204" s="15">
        <v>20000</v>
      </c>
      <c r="DE204" s="15"/>
      <c r="DF204" s="15">
        <f t="shared" si="1031"/>
        <v>20000</v>
      </c>
      <c r="DH204" s="15"/>
      <c r="DI204" s="15">
        <f t="shared" si="1032"/>
        <v>20000</v>
      </c>
      <c r="DK204" s="15"/>
      <c r="DL204" s="15">
        <f t="shared" si="1033"/>
        <v>20000</v>
      </c>
      <c r="DN204" s="15"/>
      <c r="DO204" s="15">
        <f t="shared" si="1034"/>
        <v>20000</v>
      </c>
      <c r="DQ204" s="15"/>
      <c r="DR204" s="15">
        <f t="shared" si="1035"/>
        <v>20000</v>
      </c>
      <c r="DT204" s="15"/>
      <c r="DU204" s="15">
        <f t="shared" si="1036"/>
        <v>20000</v>
      </c>
      <c r="DW204" s="15"/>
      <c r="DX204" s="15">
        <f t="shared" si="1037"/>
        <v>20000</v>
      </c>
      <c r="DZ204" s="15"/>
      <c r="EA204" s="15">
        <f t="shared" si="1038"/>
        <v>20000</v>
      </c>
      <c r="EC204" s="15"/>
      <c r="ED204" s="15">
        <f t="shared" si="1039"/>
        <v>20000</v>
      </c>
      <c r="EF204" s="227">
        <v>-12650</v>
      </c>
      <c r="EG204" s="15">
        <f t="shared" si="1040"/>
        <v>7350</v>
      </c>
      <c r="EI204" s="15">
        <v>7331.32</v>
      </c>
      <c r="EK204" s="15">
        <v>5000</v>
      </c>
      <c r="EM204" s="15"/>
      <c r="EN204" s="15">
        <f t="shared" si="1041"/>
        <v>5000</v>
      </c>
      <c r="EP204" s="15"/>
      <c r="EQ204" s="15">
        <f t="shared" si="1042"/>
        <v>5000</v>
      </c>
      <c r="ES204" s="15"/>
      <c r="ET204" s="15">
        <f t="shared" si="1043"/>
        <v>5000</v>
      </c>
      <c r="EW204" s="15">
        <f t="shared" si="1044"/>
        <v>5000</v>
      </c>
      <c r="EZ204" s="15">
        <f t="shared" si="1045"/>
        <v>5000</v>
      </c>
      <c r="FC204" s="15">
        <f t="shared" si="1046"/>
        <v>5000</v>
      </c>
      <c r="FF204" s="15">
        <f t="shared" si="1047"/>
        <v>5000</v>
      </c>
      <c r="FI204" s="15">
        <f t="shared" si="1048"/>
        <v>5000</v>
      </c>
      <c r="FL204" s="15">
        <f>FI204+FK204</f>
        <v>5000</v>
      </c>
      <c r="FO204" s="15">
        <f>FL204+FN204</f>
        <v>5000</v>
      </c>
      <c r="FR204" s="15">
        <v>5000</v>
      </c>
      <c r="FT204" s="15">
        <v>757</v>
      </c>
      <c r="FV204" s="15">
        <v>2000</v>
      </c>
      <c r="FW204" s="235">
        <f t="shared" si="989"/>
        <v>2.6420079260237781</v>
      </c>
    </row>
    <row r="205" spans="1:181" outlineLevel="1">
      <c r="A205" s="1" t="s">
        <v>201</v>
      </c>
      <c r="B205" s="1" t="s">
        <v>157</v>
      </c>
      <c r="C205" s="4" t="s">
        <v>158</v>
      </c>
      <c r="D205" s="43">
        <v>20000</v>
      </c>
      <c r="E205" s="34">
        <v>5</v>
      </c>
      <c r="F205" s="43">
        <v>20000</v>
      </c>
      <c r="G205" s="34">
        <v>5</v>
      </c>
      <c r="H205" s="46">
        <v>999</v>
      </c>
      <c r="I205" s="36">
        <v>1200</v>
      </c>
      <c r="J205" s="14"/>
      <c r="K205" t="s">
        <v>332</v>
      </c>
      <c r="L205" s="118">
        <v>1500</v>
      </c>
      <c r="M205" s="17">
        <f>L205/F205-1</f>
        <v>-0.92500000000000004</v>
      </c>
      <c r="N205" s="17">
        <f>L205/I205-1</f>
        <v>0.25</v>
      </c>
      <c r="Q205" s="118">
        <v>1500</v>
      </c>
      <c r="R205" s="15">
        <v>776</v>
      </c>
      <c r="S205" s="118">
        <v>1500</v>
      </c>
      <c r="T205" s="15">
        <f t="shared" si="990"/>
        <v>0</v>
      </c>
      <c r="U205" s="16">
        <f t="shared" si="934"/>
        <v>0</v>
      </c>
      <c r="Y205" s="118">
        <v>1500</v>
      </c>
      <c r="AA205" s="118">
        <v>1500</v>
      </c>
      <c r="AB205" s="185">
        <f t="shared" si="991"/>
        <v>0</v>
      </c>
      <c r="AC205" s="187">
        <f t="shared" si="992"/>
        <v>0</v>
      </c>
      <c r="AD205" s="187"/>
      <c r="AE205" s="118">
        <v>1600</v>
      </c>
      <c r="AF205" s="182">
        <f>AE205-AA205</f>
        <v>100</v>
      </c>
      <c r="AH205" s="15">
        <v>1530</v>
      </c>
      <c r="AI205" s="17">
        <f t="shared" si="935"/>
        <v>0.95625000000000004</v>
      </c>
      <c r="AK205" s="118">
        <v>1700</v>
      </c>
      <c r="AS205" s="15">
        <f t="shared" si="993"/>
        <v>1700</v>
      </c>
      <c r="AV205" s="15">
        <f t="shared" si="961"/>
        <v>1700</v>
      </c>
      <c r="AX205" s="15"/>
      <c r="AY205" s="15">
        <f t="shared" si="994"/>
        <v>1700</v>
      </c>
      <c r="BB205" s="15">
        <f t="shared" si="995"/>
        <v>1700</v>
      </c>
      <c r="BD205" s="15"/>
      <c r="BE205" s="15">
        <f t="shared" si="996"/>
        <v>1700</v>
      </c>
      <c r="BG205" s="15"/>
      <c r="BH205" s="15">
        <f t="shared" si="997"/>
        <v>1700</v>
      </c>
      <c r="BJ205" s="15">
        <v>305</v>
      </c>
      <c r="BK205" s="235">
        <f t="shared" si="998"/>
        <v>0.17941176470588235</v>
      </c>
      <c r="BM205" s="15">
        <v>400</v>
      </c>
      <c r="BN205" s="235">
        <f t="shared" si="967"/>
        <v>1.3114754098360655</v>
      </c>
      <c r="BO205" s="235">
        <f t="shared" si="968"/>
        <v>0.23529411764705882</v>
      </c>
      <c r="BQ205" s="15"/>
      <c r="BR205" s="15">
        <f t="shared" si="999"/>
        <v>400</v>
      </c>
      <c r="BT205" s="15"/>
      <c r="BU205" s="15">
        <f t="shared" si="1000"/>
        <v>400</v>
      </c>
      <c r="BW205" s="15"/>
      <c r="BX205" s="15">
        <f t="shared" si="1001"/>
        <v>400</v>
      </c>
      <c r="BZ205" s="15"/>
      <c r="CA205" s="15">
        <f t="shared" si="1002"/>
        <v>400</v>
      </c>
      <c r="CC205" s="15"/>
      <c r="CD205" s="15">
        <f t="shared" si="1003"/>
        <v>400</v>
      </c>
      <c r="CF205" s="15"/>
      <c r="CG205" s="15">
        <f t="shared" si="1004"/>
        <v>400</v>
      </c>
      <c r="CI205" s="15"/>
      <c r="CJ205" s="15">
        <f t="shared" si="1005"/>
        <v>400</v>
      </c>
      <c r="CM205" s="15">
        <f t="shared" si="1006"/>
        <v>400</v>
      </c>
      <c r="CP205" s="15">
        <f t="shared" si="1007"/>
        <v>400</v>
      </c>
      <c r="CS205" s="15">
        <f t="shared" si="1008"/>
        <v>400</v>
      </c>
      <c r="CV205" s="15">
        <f t="shared" si="1009"/>
        <v>400</v>
      </c>
      <c r="CY205" s="15">
        <f t="shared" si="1010"/>
        <v>400</v>
      </c>
      <c r="DA205" s="15">
        <v>196</v>
      </c>
      <c r="DC205" s="15">
        <v>500</v>
      </c>
      <c r="DE205" s="15"/>
      <c r="DF205" s="15">
        <f t="shared" si="1031"/>
        <v>500</v>
      </c>
      <c r="DH205" s="15"/>
      <c r="DI205" s="15">
        <f t="shared" si="1032"/>
        <v>500</v>
      </c>
      <c r="DK205" s="15"/>
      <c r="DL205" s="15">
        <f t="shared" si="1033"/>
        <v>500</v>
      </c>
      <c r="DN205" s="15"/>
      <c r="DO205" s="15">
        <f t="shared" si="1034"/>
        <v>500</v>
      </c>
      <c r="DQ205" s="15"/>
      <c r="DR205" s="15">
        <f t="shared" si="1035"/>
        <v>500</v>
      </c>
      <c r="DT205" s="15"/>
      <c r="DU205" s="15">
        <f t="shared" si="1036"/>
        <v>500</v>
      </c>
      <c r="DW205" s="15"/>
      <c r="DX205" s="15">
        <f t="shared" si="1037"/>
        <v>500</v>
      </c>
      <c r="DZ205" s="15"/>
      <c r="EA205" s="15">
        <f t="shared" si="1038"/>
        <v>500</v>
      </c>
      <c r="EC205" s="227">
        <v>10</v>
      </c>
      <c r="ED205" s="15">
        <f t="shared" si="1039"/>
        <v>510</v>
      </c>
      <c r="EF205" s="15"/>
      <c r="EG205" s="15">
        <f t="shared" si="1040"/>
        <v>510</v>
      </c>
      <c r="EI205" s="15">
        <v>508</v>
      </c>
      <c r="EK205" s="15">
        <v>1000</v>
      </c>
      <c r="EM205" s="15"/>
      <c r="EN205" s="15">
        <f t="shared" si="1041"/>
        <v>1000</v>
      </c>
      <c r="EP205" s="15"/>
      <c r="EQ205" s="15">
        <f t="shared" si="1042"/>
        <v>1000</v>
      </c>
      <c r="ES205" s="15"/>
      <c r="ET205" s="15">
        <f t="shared" si="1043"/>
        <v>1000</v>
      </c>
      <c r="EW205" s="15">
        <f t="shared" si="1044"/>
        <v>1000</v>
      </c>
      <c r="EZ205" s="15">
        <f t="shared" si="1045"/>
        <v>1000</v>
      </c>
      <c r="FC205" s="15">
        <f t="shared" si="1046"/>
        <v>1000</v>
      </c>
      <c r="FF205" s="15">
        <f t="shared" si="1047"/>
        <v>1000</v>
      </c>
      <c r="FI205" s="15">
        <f t="shared" si="1048"/>
        <v>1000</v>
      </c>
      <c r="FL205" s="15">
        <f t="shared" ref="FL205:FL209" si="1049">FI205+FK205</f>
        <v>1000</v>
      </c>
      <c r="FO205" s="15">
        <f t="shared" ref="FO205:FO209" si="1050">FL205+FN205</f>
        <v>1000</v>
      </c>
      <c r="FQ205" s="227">
        <v>260</v>
      </c>
      <c r="FR205" s="15">
        <v>1260</v>
      </c>
      <c r="FT205" s="15">
        <v>1253</v>
      </c>
      <c r="FV205" s="15">
        <v>1500</v>
      </c>
      <c r="FW205" s="235">
        <f t="shared" si="989"/>
        <v>1.1971268954509178</v>
      </c>
    </row>
    <row r="206" spans="1:181" outlineLevel="1">
      <c r="A206" s="1" t="s">
        <v>201</v>
      </c>
      <c r="B206" s="1" t="s">
        <v>159</v>
      </c>
      <c r="C206" s="4" t="s">
        <v>160</v>
      </c>
      <c r="D206" s="43">
        <v>3000</v>
      </c>
      <c r="E206" s="34">
        <v>51.1</v>
      </c>
      <c r="F206" s="43">
        <v>3000</v>
      </c>
      <c r="G206" s="34">
        <v>51.1</v>
      </c>
      <c r="H206" s="46">
        <v>1533</v>
      </c>
      <c r="I206" s="36">
        <v>5000</v>
      </c>
      <c r="J206" s="14"/>
      <c r="K206" t="s">
        <v>332</v>
      </c>
      <c r="L206" s="118">
        <v>5000</v>
      </c>
      <c r="M206" s="17">
        <f>L206/F206-1</f>
        <v>0.66666666666666674</v>
      </c>
      <c r="N206" s="17">
        <f>L206/I206-1</f>
        <v>0</v>
      </c>
      <c r="Q206" s="118">
        <v>5000</v>
      </c>
      <c r="R206" s="15">
        <v>1963</v>
      </c>
      <c r="S206" s="118">
        <v>3500</v>
      </c>
      <c r="T206" s="15">
        <f t="shared" si="990"/>
        <v>-1500</v>
      </c>
      <c r="U206" s="16">
        <f t="shared" si="934"/>
        <v>-0.30000000000000004</v>
      </c>
      <c r="Y206" s="118">
        <v>3500</v>
      </c>
      <c r="AA206" s="118">
        <v>5000</v>
      </c>
      <c r="AB206" s="185">
        <f t="shared" si="991"/>
        <v>1500</v>
      </c>
      <c r="AC206" s="187">
        <f t="shared" si="992"/>
        <v>1500</v>
      </c>
      <c r="AD206" s="187"/>
      <c r="AE206" s="118">
        <v>5000</v>
      </c>
      <c r="AF206" s="182"/>
      <c r="AH206" s="15">
        <v>4562.71</v>
      </c>
      <c r="AI206" s="17">
        <f t="shared" si="935"/>
        <v>0.91254199999999996</v>
      </c>
      <c r="AK206" s="118">
        <v>5000</v>
      </c>
      <c r="AS206" s="15">
        <f t="shared" si="993"/>
        <v>5000</v>
      </c>
      <c r="AV206" s="15">
        <f t="shared" si="961"/>
        <v>5000</v>
      </c>
      <c r="AX206" s="15"/>
      <c r="AY206" s="15">
        <f t="shared" si="994"/>
        <v>5000</v>
      </c>
      <c r="BB206" s="15">
        <f t="shared" si="995"/>
        <v>5000</v>
      </c>
      <c r="BD206" s="15"/>
      <c r="BE206" s="15">
        <f t="shared" si="996"/>
        <v>5000</v>
      </c>
      <c r="BG206" s="15"/>
      <c r="BH206" s="15">
        <f t="shared" si="997"/>
        <v>5000</v>
      </c>
      <c r="BJ206" s="15">
        <v>3274.16</v>
      </c>
      <c r="BK206" s="235">
        <f t="shared" si="998"/>
        <v>0.65483199999999997</v>
      </c>
      <c r="BM206" s="196">
        <f>12*1000</f>
        <v>12000</v>
      </c>
      <c r="BN206" s="235">
        <f t="shared" si="967"/>
        <v>3.665062183888387</v>
      </c>
      <c r="BO206" s="235">
        <f t="shared" si="968"/>
        <v>2.4</v>
      </c>
      <c r="BQ206" s="15"/>
      <c r="BR206" s="15">
        <f t="shared" si="999"/>
        <v>12000</v>
      </c>
      <c r="BT206" s="15"/>
      <c r="BU206" s="15">
        <f t="shared" si="1000"/>
        <v>12000</v>
      </c>
      <c r="BW206" s="15">
        <v>12000</v>
      </c>
      <c r="BX206" s="15">
        <f t="shared" si="1001"/>
        <v>24000</v>
      </c>
      <c r="BZ206" s="15"/>
      <c r="CA206" s="15">
        <f t="shared" si="1002"/>
        <v>24000</v>
      </c>
      <c r="CC206" s="15"/>
      <c r="CD206" s="15">
        <f t="shared" si="1003"/>
        <v>24000</v>
      </c>
      <c r="CF206" s="15"/>
      <c r="CG206" s="15">
        <f t="shared" si="1004"/>
        <v>24000</v>
      </c>
      <c r="CI206" s="15"/>
      <c r="CJ206" s="15">
        <f t="shared" si="1005"/>
        <v>24000</v>
      </c>
      <c r="CM206" s="15">
        <f t="shared" si="1006"/>
        <v>24000</v>
      </c>
      <c r="CP206" s="15">
        <f t="shared" si="1007"/>
        <v>24000</v>
      </c>
      <c r="CS206" s="15">
        <f t="shared" si="1008"/>
        <v>24000</v>
      </c>
      <c r="CU206" s="227">
        <v>-4000</v>
      </c>
      <c r="CV206" s="15">
        <f t="shared" si="1009"/>
        <v>20000</v>
      </c>
      <c r="CX206" s="227"/>
      <c r="CY206" s="15">
        <f t="shared" si="1010"/>
        <v>20000</v>
      </c>
      <c r="DA206" s="15">
        <v>19752.55</v>
      </c>
      <c r="DC206" s="15">
        <v>19000</v>
      </c>
      <c r="DE206" s="15"/>
      <c r="DF206" s="15">
        <f t="shared" si="1031"/>
        <v>19000</v>
      </c>
      <c r="DH206" s="15"/>
      <c r="DI206" s="15">
        <f t="shared" si="1032"/>
        <v>19000</v>
      </c>
      <c r="DK206" s="15"/>
      <c r="DL206" s="15">
        <f t="shared" si="1033"/>
        <v>19000</v>
      </c>
      <c r="DN206" s="15"/>
      <c r="DO206" s="15">
        <f t="shared" si="1034"/>
        <v>19000</v>
      </c>
      <c r="DQ206" s="227">
        <v>5000</v>
      </c>
      <c r="DR206" s="15">
        <f t="shared" si="1035"/>
        <v>24000</v>
      </c>
      <c r="DT206" s="15"/>
      <c r="DU206" s="15">
        <f t="shared" si="1036"/>
        <v>24000</v>
      </c>
      <c r="DW206" s="15"/>
      <c r="DX206" s="15">
        <f t="shared" si="1037"/>
        <v>24000</v>
      </c>
      <c r="DZ206" s="227">
        <v>3000</v>
      </c>
      <c r="EA206" s="15">
        <f t="shared" si="1038"/>
        <v>27000</v>
      </c>
      <c r="EC206" s="227">
        <v>790</v>
      </c>
      <c r="ED206" s="15">
        <f t="shared" si="1039"/>
        <v>27790</v>
      </c>
      <c r="EF206" s="227">
        <v>1500</v>
      </c>
      <c r="EG206" s="15">
        <f t="shared" si="1040"/>
        <v>29290</v>
      </c>
      <c r="EI206" s="15">
        <v>29114</v>
      </c>
      <c r="EK206" s="15">
        <v>30000</v>
      </c>
      <c r="EM206" s="15"/>
      <c r="EN206" s="15">
        <f t="shared" si="1041"/>
        <v>30000</v>
      </c>
      <c r="EP206" s="15"/>
      <c r="EQ206" s="15">
        <f t="shared" si="1042"/>
        <v>30000</v>
      </c>
      <c r="ES206" s="15"/>
      <c r="ET206" s="15">
        <f t="shared" si="1043"/>
        <v>30000</v>
      </c>
      <c r="EW206" s="15">
        <f t="shared" si="1044"/>
        <v>30000</v>
      </c>
      <c r="EZ206" s="15">
        <f t="shared" si="1045"/>
        <v>30000</v>
      </c>
      <c r="FC206" s="15">
        <f t="shared" si="1046"/>
        <v>30000</v>
      </c>
      <c r="FF206" s="15">
        <f t="shared" si="1047"/>
        <v>30000</v>
      </c>
      <c r="FI206" s="15">
        <f t="shared" si="1048"/>
        <v>30000</v>
      </c>
      <c r="FK206" s="227">
        <v>-19000</v>
      </c>
      <c r="FL206" s="15">
        <f t="shared" si="1049"/>
        <v>11000</v>
      </c>
      <c r="FO206" s="15">
        <f t="shared" si="1050"/>
        <v>11000</v>
      </c>
      <c r="FR206" s="15">
        <v>11000</v>
      </c>
      <c r="FT206" s="15">
        <v>10640</v>
      </c>
      <c r="FV206" s="15">
        <v>12000</v>
      </c>
      <c r="FW206" s="235">
        <f t="shared" si="989"/>
        <v>1.1278195488721805</v>
      </c>
    </row>
    <row r="207" spans="1:181" outlineLevel="1">
      <c r="A207" s="1" t="s">
        <v>201</v>
      </c>
      <c r="B207" s="1" t="s">
        <v>161</v>
      </c>
      <c r="C207" s="4" t="s">
        <v>162</v>
      </c>
      <c r="D207" s="43">
        <v>11000</v>
      </c>
      <c r="E207" s="34">
        <v>77.86</v>
      </c>
      <c r="F207" s="43">
        <v>11000</v>
      </c>
      <c r="G207" s="34">
        <v>77.86</v>
      </c>
      <c r="H207" s="46">
        <v>8565</v>
      </c>
      <c r="I207" s="15">
        <v>11000</v>
      </c>
      <c r="K207" t="s">
        <v>332</v>
      </c>
      <c r="L207" s="118">
        <v>14000</v>
      </c>
      <c r="M207" s="17">
        <f t="shared" si="891"/>
        <v>0.27272727272727271</v>
      </c>
      <c r="N207" s="17">
        <f t="shared" si="892"/>
        <v>0.27272727272727271</v>
      </c>
      <c r="Q207" s="118">
        <v>14000</v>
      </c>
      <c r="R207" s="15">
        <v>4202</v>
      </c>
      <c r="S207" s="118">
        <v>12000</v>
      </c>
      <c r="T207" s="15">
        <f t="shared" si="990"/>
        <v>-2000</v>
      </c>
      <c r="U207" s="16">
        <f t="shared" si="934"/>
        <v>-0.1428571428571429</v>
      </c>
      <c r="Y207" s="118">
        <v>8800</v>
      </c>
      <c r="Z207">
        <v>10300</v>
      </c>
      <c r="AA207" s="118">
        <v>8800</v>
      </c>
      <c r="AB207" s="185">
        <f t="shared" si="991"/>
        <v>0</v>
      </c>
      <c r="AC207" s="187">
        <f t="shared" si="992"/>
        <v>0</v>
      </c>
      <c r="AD207" s="187"/>
      <c r="AE207" s="118">
        <v>8800</v>
      </c>
      <c r="AF207" s="182"/>
      <c r="AH207" s="15">
        <v>6304</v>
      </c>
      <c r="AI207" s="17">
        <f t="shared" si="935"/>
        <v>0.71636363636363631</v>
      </c>
      <c r="AK207" s="118">
        <v>8000</v>
      </c>
      <c r="AS207" s="15">
        <f t="shared" si="993"/>
        <v>8000</v>
      </c>
      <c r="AV207" s="15">
        <f t="shared" si="961"/>
        <v>8000</v>
      </c>
      <c r="AX207" s="15"/>
      <c r="AY207" s="15">
        <f t="shared" si="994"/>
        <v>8000</v>
      </c>
      <c r="BB207" s="15">
        <f t="shared" si="995"/>
        <v>8000</v>
      </c>
      <c r="BD207" s="15">
        <v>4000</v>
      </c>
      <c r="BE207" s="15">
        <f t="shared" si="996"/>
        <v>12000</v>
      </c>
      <c r="BG207" s="15"/>
      <c r="BH207" s="15">
        <f t="shared" si="997"/>
        <v>12000</v>
      </c>
      <c r="BJ207" s="15">
        <v>9655</v>
      </c>
      <c r="BK207" s="235">
        <f t="shared" si="998"/>
        <v>0.80458333333333332</v>
      </c>
      <c r="BM207" s="196">
        <f>12*1350</f>
        <v>16200</v>
      </c>
      <c r="BN207" s="235">
        <f t="shared" si="967"/>
        <v>1.6778871051268773</v>
      </c>
      <c r="BO207" s="235">
        <f t="shared" si="968"/>
        <v>1.35</v>
      </c>
      <c r="BQ207" s="15"/>
      <c r="BR207" s="15">
        <f t="shared" si="999"/>
        <v>16200</v>
      </c>
      <c r="BT207" s="15"/>
      <c r="BU207" s="15">
        <f t="shared" si="1000"/>
        <v>16200</v>
      </c>
      <c r="BW207" s="15"/>
      <c r="BX207" s="15">
        <f t="shared" si="1001"/>
        <v>16200</v>
      </c>
      <c r="BZ207" s="15"/>
      <c r="CA207" s="15">
        <f t="shared" si="1002"/>
        <v>16200</v>
      </c>
      <c r="CC207" s="15"/>
      <c r="CD207" s="15">
        <f t="shared" si="1003"/>
        <v>16200</v>
      </c>
      <c r="CF207" s="15"/>
      <c r="CG207" s="15">
        <f t="shared" si="1004"/>
        <v>16200</v>
      </c>
      <c r="CI207" s="15"/>
      <c r="CJ207" s="15">
        <f t="shared" si="1005"/>
        <v>16200</v>
      </c>
      <c r="CM207" s="15">
        <f t="shared" si="1006"/>
        <v>16200</v>
      </c>
      <c r="CP207" s="15">
        <f t="shared" si="1007"/>
        <v>16200</v>
      </c>
      <c r="CS207" s="15">
        <f t="shared" si="1008"/>
        <v>16200</v>
      </c>
      <c r="CU207" s="227">
        <v>-2200</v>
      </c>
      <c r="CV207" s="15">
        <f t="shared" si="1009"/>
        <v>14000</v>
      </c>
      <c r="CX207" s="227"/>
      <c r="CY207" s="15">
        <f t="shared" si="1010"/>
        <v>14000</v>
      </c>
      <c r="DA207" s="15">
        <v>13983</v>
      </c>
      <c r="DC207" s="15">
        <v>13000</v>
      </c>
      <c r="DE207" s="15"/>
      <c r="DF207" s="15">
        <f t="shared" si="1031"/>
        <v>13000</v>
      </c>
      <c r="DH207" s="15"/>
      <c r="DI207" s="15">
        <f t="shared" si="1032"/>
        <v>13000</v>
      </c>
      <c r="DK207" s="15"/>
      <c r="DL207" s="15">
        <f t="shared" si="1033"/>
        <v>13000</v>
      </c>
      <c r="DN207" s="15"/>
      <c r="DO207" s="15">
        <f t="shared" si="1034"/>
        <v>13000</v>
      </c>
      <c r="DQ207" s="15"/>
      <c r="DR207" s="15">
        <f t="shared" si="1035"/>
        <v>13000</v>
      </c>
      <c r="DT207" s="15"/>
      <c r="DU207" s="15">
        <f t="shared" si="1036"/>
        <v>13000</v>
      </c>
      <c r="DW207" s="15"/>
      <c r="DX207" s="15">
        <f t="shared" si="1037"/>
        <v>13000</v>
      </c>
      <c r="DZ207" s="15"/>
      <c r="EA207" s="15">
        <f t="shared" si="1038"/>
        <v>13000</v>
      </c>
      <c r="EC207" s="15"/>
      <c r="ED207" s="15">
        <f t="shared" si="1039"/>
        <v>13000</v>
      </c>
      <c r="EF207" s="227">
        <v>-8000</v>
      </c>
      <c r="EG207" s="15">
        <f t="shared" si="1040"/>
        <v>5000</v>
      </c>
      <c r="EI207" s="15">
        <v>4774</v>
      </c>
      <c r="EK207" s="15">
        <v>5000</v>
      </c>
      <c r="EM207" s="15"/>
      <c r="EN207" s="15">
        <f t="shared" si="1041"/>
        <v>5000</v>
      </c>
      <c r="EP207" s="15"/>
      <c r="EQ207" s="15">
        <f t="shared" si="1042"/>
        <v>5000</v>
      </c>
      <c r="ES207" s="15"/>
      <c r="ET207" s="15">
        <f t="shared" si="1043"/>
        <v>5000</v>
      </c>
      <c r="EV207" s="227">
        <v>1000</v>
      </c>
      <c r="EW207" s="15">
        <f t="shared" si="1044"/>
        <v>6000</v>
      </c>
      <c r="EY207" s="227">
        <v>1000</v>
      </c>
      <c r="EZ207" s="15">
        <f t="shared" si="1045"/>
        <v>7000</v>
      </c>
      <c r="FC207" s="15">
        <f t="shared" si="1046"/>
        <v>7000</v>
      </c>
      <c r="FF207" s="15">
        <f t="shared" si="1047"/>
        <v>7000</v>
      </c>
      <c r="FI207" s="15">
        <f t="shared" si="1048"/>
        <v>7000</v>
      </c>
      <c r="FK207" s="227">
        <v>1000</v>
      </c>
      <c r="FL207" s="15">
        <f t="shared" si="1049"/>
        <v>8000</v>
      </c>
      <c r="FO207" s="15">
        <f t="shared" si="1050"/>
        <v>8000</v>
      </c>
      <c r="FR207" s="15">
        <v>8000</v>
      </c>
      <c r="FT207" s="15">
        <v>7834</v>
      </c>
      <c r="FV207" s="15">
        <v>8000</v>
      </c>
      <c r="FW207" s="235">
        <f t="shared" si="989"/>
        <v>1.0211896859841716</v>
      </c>
    </row>
    <row r="208" spans="1:181" outlineLevel="1">
      <c r="A208" s="1" t="s">
        <v>201</v>
      </c>
      <c r="B208" s="1" t="s">
        <v>193</v>
      </c>
      <c r="C208" s="4" t="s">
        <v>194</v>
      </c>
      <c r="D208" s="43">
        <v>2000</v>
      </c>
      <c r="E208" s="34">
        <v>35.9</v>
      </c>
      <c r="F208" s="43">
        <v>2000</v>
      </c>
      <c r="G208" s="34">
        <v>35.9</v>
      </c>
      <c r="H208" s="46">
        <v>718</v>
      </c>
      <c r="I208" s="36">
        <v>1200</v>
      </c>
      <c r="J208" s="14"/>
      <c r="K208" t="s">
        <v>332</v>
      </c>
      <c r="L208" s="118">
        <v>2000</v>
      </c>
      <c r="M208" s="17">
        <f t="shared" si="891"/>
        <v>0</v>
      </c>
      <c r="N208" s="17">
        <f t="shared" si="892"/>
        <v>0.66666666666666674</v>
      </c>
      <c r="Q208" s="118">
        <v>2000</v>
      </c>
      <c r="R208" s="15">
        <v>0</v>
      </c>
      <c r="S208" s="118">
        <v>1000</v>
      </c>
      <c r="T208" s="15">
        <f t="shared" si="990"/>
        <v>-1000</v>
      </c>
      <c r="U208" s="16">
        <f t="shared" si="934"/>
        <v>-0.5</v>
      </c>
      <c r="Y208" s="118">
        <v>1000</v>
      </c>
      <c r="AA208" s="118">
        <v>1000</v>
      </c>
      <c r="AB208" s="185">
        <f t="shared" si="991"/>
        <v>0</v>
      </c>
      <c r="AC208" s="187">
        <f t="shared" si="992"/>
        <v>0</v>
      </c>
      <c r="AD208" s="187"/>
      <c r="AE208" s="118">
        <v>1000</v>
      </c>
      <c r="AF208" s="182"/>
      <c r="AH208" s="15">
        <v>0</v>
      </c>
      <c r="AI208" s="17">
        <f t="shared" si="935"/>
        <v>0</v>
      </c>
      <c r="AK208" s="118">
        <v>2000</v>
      </c>
      <c r="AS208" s="15">
        <f t="shared" si="993"/>
        <v>2000</v>
      </c>
      <c r="AV208" s="15">
        <f t="shared" si="961"/>
        <v>2000</v>
      </c>
      <c r="AX208" s="15"/>
      <c r="AY208" s="15">
        <f t="shared" si="994"/>
        <v>2000</v>
      </c>
      <c r="BB208" s="15">
        <f t="shared" si="995"/>
        <v>2000</v>
      </c>
      <c r="BD208" s="15">
        <v>8000</v>
      </c>
      <c r="BE208" s="15">
        <f t="shared" si="996"/>
        <v>10000</v>
      </c>
      <c r="BG208" s="15"/>
      <c r="BH208" s="15">
        <f t="shared" si="997"/>
        <v>10000</v>
      </c>
      <c r="BJ208" s="15">
        <v>5878.5</v>
      </c>
      <c r="BK208" s="235">
        <f t="shared" si="998"/>
        <v>0.58784999999999998</v>
      </c>
      <c r="BM208" s="15">
        <v>6000</v>
      </c>
      <c r="BN208" s="235">
        <f t="shared" si="967"/>
        <v>1.0206685378923195</v>
      </c>
      <c r="BO208" s="235">
        <f t="shared" si="968"/>
        <v>0.6</v>
      </c>
      <c r="BQ208" s="15"/>
      <c r="BR208" s="15">
        <f t="shared" si="999"/>
        <v>6000</v>
      </c>
      <c r="BT208" s="15"/>
      <c r="BU208" s="15">
        <f t="shared" si="1000"/>
        <v>6000</v>
      </c>
      <c r="BW208" s="15"/>
      <c r="BX208" s="15">
        <f t="shared" si="1001"/>
        <v>6000</v>
      </c>
      <c r="BZ208" s="15"/>
      <c r="CA208" s="15">
        <f t="shared" si="1002"/>
        <v>6000</v>
      </c>
      <c r="CC208" s="15"/>
      <c r="CD208" s="15">
        <f t="shared" si="1003"/>
        <v>6000</v>
      </c>
      <c r="CF208" s="15"/>
      <c r="CG208" s="15">
        <f t="shared" si="1004"/>
        <v>6000</v>
      </c>
      <c r="CI208" s="15"/>
      <c r="CJ208" s="15">
        <f t="shared" si="1005"/>
        <v>6000</v>
      </c>
      <c r="CM208" s="15">
        <f t="shared" si="1006"/>
        <v>6000</v>
      </c>
      <c r="CP208" s="15">
        <f t="shared" si="1007"/>
        <v>6000</v>
      </c>
      <c r="CS208" s="15">
        <f t="shared" si="1008"/>
        <v>6000</v>
      </c>
      <c r="CV208" s="15">
        <f t="shared" si="1009"/>
        <v>6000</v>
      </c>
      <c r="CY208" s="15">
        <f t="shared" si="1010"/>
        <v>6000</v>
      </c>
      <c r="DA208" s="15">
        <v>5262</v>
      </c>
      <c r="DC208" s="15">
        <v>8000</v>
      </c>
      <c r="DE208" s="15"/>
      <c r="DF208" s="15">
        <f t="shared" si="1031"/>
        <v>8000</v>
      </c>
      <c r="DH208" s="15"/>
      <c r="DI208" s="15">
        <f t="shared" si="1032"/>
        <v>8000</v>
      </c>
      <c r="DK208" s="15"/>
      <c r="DL208" s="15">
        <f t="shared" si="1033"/>
        <v>8000</v>
      </c>
      <c r="DN208" s="15"/>
      <c r="DO208" s="15">
        <f t="shared" si="1034"/>
        <v>8000</v>
      </c>
      <c r="DQ208" s="15"/>
      <c r="DR208" s="15">
        <f t="shared" si="1035"/>
        <v>8000</v>
      </c>
      <c r="DT208" s="15"/>
      <c r="DU208" s="15">
        <f t="shared" si="1036"/>
        <v>8000</v>
      </c>
      <c r="DW208" s="227">
        <v>4000</v>
      </c>
      <c r="DX208" s="15">
        <f t="shared" si="1037"/>
        <v>12000</v>
      </c>
      <c r="DZ208" s="227">
        <v>2100</v>
      </c>
      <c r="EA208" s="15">
        <f t="shared" si="1038"/>
        <v>14100</v>
      </c>
      <c r="EC208" s="227">
        <v>2500</v>
      </c>
      <c r="ED208" s="15">
        <f t="shared" si="1039"/>
        <v>16600</v>
      </c>
      <c r="EF208" s="15"/>
      <c r="EG208" s="15">
        <f t="shared" si="1040"/>
        <v>16600</v>
      </c>
      <c r="EI208" s="15">
        <v>15988.5</v>
      </c>
      <c r="EK208" s="15">
        <v>16000</v>
      </c>
      <c r="EM208" s="15"/>
      <c r="EN208" s="15">
        <f t="shared" si="1041"/>
        <v>16000</v>
      </c>
      <c r="EP208" s="15"/>
      <c r="EQ208" s="15">
        <f t="shared" si="1042"/>
        <v>16000</v>
      </c>
      <c r="ES208" s="15"/>
      <c r="ET208" s="15">
        <f t="shared" si="1043"/>
        <v>16000</v>
      </c>
      <c r="EW208" s="15">
        <f t="shared" si="1044"/>
        <v>16000</v>
      </c>
      <c r="EZ208" s="15">
        <f t="shared" si="1045"/>
        <v>16000</v>
      </c>
      <c r="FC208" s="15">
        <f t="shared" si="1046"/>
        <v>16000</v>
      </c>
      <c r="FF208" s="15">
        <f t="shared" si="1047"/>
        <v>16000</v>
      </c>
      <c r="FI208" s="15">
        <f t="shared" si="1048"/>
        <v>16000</v>
      </c>
      <c r="FK208" s="227">
        <v>-3000</v>
      </c>
      <c r="FL208" s="15">
        <f t="shared" si="1049"/>
        <v>13000</v>
      </c>
      <c r="FO208" s="15">
        <f t="shared" si="1050"/>
        <v>13000</v>
      </c>
      <c r="FR208" s="15">
        <v>13000</v>
      </c>
      <c r="FT208" s="15">
        <v>10619</v>
      </c>
      <c r="FV208" s="15">
        <v>12000</v>
      </c>
      <c r="FW208" s="235">
        <f t="shared" si="989"/>
        <v>1.1300499105377153</v>
      </c>
    </row>
    <row r="209" spans="1:179" outlineLevel="1">
      <c r="A209" s="1" t="s">
        <v>201</v>
      </c>
      <c r="B209" s="1" t="s">
        <v>195</v>
      </c>
      <c r="C209" s="4" t="s">
        <v>196</v>
      </c>
      <c r="D209" s="43">
        <v>2000</v>
      </c>
      <c r="E209" s="34">
        <v>0</v>
      </c>
      <c r="F209" s="43">
        <v>2000</v>
      </c>
      <c r="G209" s="34">
        <v>0</v>
      </c>
      <c r="H209" s="46">
        <v>0</v>
      </c>
      <c r="I209" s="36">
        <v>0</v>
      </c>
      <c r="J209" s="14"/>
      <c r="K209" t="s">
        <v>332</v>
      </c>
      <c r="L209" s="118">
        <v>2000</v>
      </c>
      <c r="M209" s="17">
        <f t="shared" si="891"/>
        <v>0</v>
      </c>
      <c r="N209" s="17" t="e">
        <f t="shared" si="892"/>
        <v>#DIV/0!</v>
      </c>
      <c r="Q209" s="118">
        <v>2000</v>
      </c>
      <c r="R209" s="15">
        <v>0</v>
      </c>
      <c r="S209" s="118">
        <v>500</v>
      </c>
      <c r="T209" s="15">
        <f t="shared" si="990"/>
        <v>-1500</v>
      </c>
      <c r="U209" s="16">
        <f t="shared" si="934"/>
        <v>-0.75</v>
      </c>
      <c r="Y209" s="118">
        <v>500</v>
      </c>
      <c r="AA209" s="118">
        <v>0</v>
      </c>
      <c r="AB209" s="185">
        <f t="shared" si="991"/>
        <v>-500</v>
      </c>
      <c r="AC209" s="187">
        <f t="shared" si="992"/>
        <v>-500</v>
      </c>
      <c r="AD209" s="187"/>
      <c r="AE209" s="118">
        <v>0</v>
      </c>
      <c r="AF209" s="182"/>
      <c r="AH209" s="15">
        <v>0</v>
      </c>
      <c r="AK209" s="118">
        <v>2000</v>
      </c>
      <c r="AS209" s="15">
        <f t="shared" si="993"/>
        <v>2000</v>
      </c>
      <c r="AV209" s="15">
        <f t="shared" si="961"/>
        <v>2000</v>
      </c>
      <c r="AX209" s="15"/>
      <c r="AY209" s="15">
        <f t="shared" si="994"/>
        <v>2000</v>
      </c>
      <c r="BB209" s="15">
        <f t="shared" si="995"/>
        <v>2000</v>
      </c>
      <c r="BD209" s="15"/>
      <c r="BE209" s="15">
        <f t="shared" si="996"/>
        <v>2000</v>
      </c>
      <c r="BG209" s="15"/>
      <c r="BH209" s="15">
        <f t="shared" si="997"/>
        <v>2000</v>
      </c>
      <c r="BJ209" s="15">
        <v>0</v>
      </c>
      <c r="BK209" s="235">
        <f t="shared" si="998"/>
        <v>0</v>
      </c>
      <c r="BM209" s="15">
        <v>1000</v>
      </c>
      <c r="BN209" s="235" t="e">
        <f t="shared" si="967"/>
        <v>#DIV/0!</v>
      </c>
      <c r="BO209" s="235">
        <f t="shared" si="968"/>
        <v>0.5</v>
      </c>
      <c r="BQ209" s="15"/>
      <c r="BR209" s="15">
        <f t="shared" si="999"/>
        <v>1000</v>
      </c>
      <c r="BT209" s="15"/>
      <c r="BU209" s="15">
        <f t="shared" si="1000"/>
        <v>1000</v>
      </c>
      <c r="BW209" s="15"/>
      <c r="BX209" s="15">
        <f t="shared" si="1001"/>
        <v>1000</v>
      </c>
      <c r="BZ209" s="15"/>
      <c r="CA209" s="15">
        <f t="shared" si="1002"/>
        <v>1000</v>
      </c>
      <c r="CC209" s="15"/>
      <c r="CD209" s="15">
        <f t="shared" si="1003"/>
        <v>1000</v>
      </c>
      <c r="CF209" s="15"/>
      <c r="CG209" s="15">
        <f t="shared" si="1004"/>
        <v>1000</v>
      </c>
      <c r="CI209" s="15"/>
      <c r="CJ209" s="15">
        <f t="shared" si="1005"/>
        <v>1000</v>
      </c>
      <c r="CM209" s="15">
        <f t="shared" si="1006"/>
        <v>1000</v>
      </c>
      <c r="CP209" s="15">
        <f t="shared" si="1007"/>
        <v>1000</v>
      </c>
      <c r="CS209" s="15">
        <f t="shared" si="1008"/>
        <v>1000</v>
      </c>
      <c r="CU209" s="227">
        <v>-1000</v>
      </c>
      <c r="CV209" s="15">
        <f t="shared" si="1009"/>
        <v>0</v>
      </c>
      <c r="CX209" s="227"/>
      <c r="CY209" s="15">
        <f t="shared" si="1010"/>
        <v>0</v>
      </c>
      <c r="DA209" s="15">
        <v>0</v>
      </c>
      <c r="DE209" s="15"/>
      <c r="DF209" s="15">
        <f t="shared" si="1031"/>
        <v>0</v>
      </c>
      <c r="DH209" s="15"/>
      <c r="DI209" s="15">
        <f t="shared" si="1032"/>
        <v>0</v>
      </c>
      <c r="DK209" s="15"/>
      <c r="DL209" s="15">
        <f t="shared" si="1033"/>
        <v>0</v>
      </c>
      <c r="DN209" s="15"/>
      <c r="DO209" s="15">
        <f t="shared" si="1034"/>
        <v>0</v>
      </c>
      <c r="DQ209" s="15"/>
      <c r="DR209" s="15">
        <f t="shared" si="1035"/>
        <v>0</v>
      </c>
      <c r="DT209" s="15"/>
      <c r="DU209" s="15">
        <f t="shared" si="1036"/>
        <v>0</v>
      </c>
      <c r="DW209" s="15"/>
      <c r="DX209" s="15">
        <f t="shared" si="1037"/>
        <v>0</v>
      </c>
      <c r="DZ209" s="15"/>
      <c r="EA209" s="15">
        <f t="shared" si="1038"/>
        <v>0</v>
      </c>
      <c r="EC209" s="15"/>
      <c r="ED209" s="15">
        <f t="shared" si="1039"/>
        <v>0</v>
      </c>
      <c r="EF209" s="15"/>
      <c r="EG209" s="15">
        <f t="shared" si="1040"/>
        <v>0</v>
      </c>
      <c r="EK209" s="15"/>
      <c r="EM209" s="15"/>
      <c r="EN209" s="15">
        <f t="shared" si="1041"/>
        <v>0</v>
      </c>
      <c r="EP209" s="15"/>
      <c r="EQ209" s="15">
        <f t="shared" si="1042"/>
        <v>0</v>
      </c>
      <c r="ES209" s="15"/>
      <c r="ET209" s="15">
        <f t="shared" si="1043"/>
        <v>0</v>
      </c>
      <c r="EW209" s="15">
        <f t="shared" si="1044"/>
        <v>0</v>
      </c>
      <c r="EZ209" s="15">
        <f t="shared" si="1045"/>
        <v>0</v>
      </c>
      <c r="FC209" s="15">
        <f t="shared" si="1046"/>
        <v>0</v>
      </c>
      <c r="FF209" s="15">
        <f t="shared" si="1047"/>
        <v>0</v>
      </c>
      <c r="FI209" s="15">
        <f t="shared" si="1048"/>
        <v>0</v>
      </c>
      <c r="FL209" s="15">
        <f t="shared" si="1049"/>
        <v>0</v>
      </c>
      <c r="FO209" s="15">
        <f t="shared" si="1050"/>
        <v>0</v>
      </c>
      <c r="FR209" s="15">
        <v>0</v>
      </c>
      <c r="FW209" s="235" t="e">
        <f t="shared" si="989"/>
        <v>#DIV/0!</v>
      </c>
    </row>
    <row r="210" spans="1:179" outlineLevel="1">
      <c r="A210" s="1" t="s">
        <v>201</v>
      </c>
      <c r="B210" s="1" t="s">
        <v>115</v>
      </c>
      <c r="C210" s="4" t="s">
        <v>116</v>
      </c>
      <c r="D210" s="43">
        <v>35000</v>
      </c>
      <c r="E210" s="34">
        <v>3</v>
      </c>
      <c r="F210" s="43">
        <v>35000</v>
      </c>
      <c r="G210" s="34">
        <v>3</v>
      </c>
      <c r="H210" s="46">
        <v>1050</v>
      </c>
      <c r="I210" s="36">
        <v>1050</v>
      </c>
      <c r="J210" s="14"/>
      <c r="K210" t="s">
        <v>332</v>
      </c>
      <c r="L210" s="118">
        <v>1500</v>
      </c>
      <c r="M210" s="17">
        <f t="shared" si="891"/>
        <v>-0.95714285714285718</v>
      </c>
      <c r="N210" s="17">
        <f t="shared" si="892"/>
        <v>0.4285714285714286</v>
      </c>
      <c r="Q210" s="118">
        <v>1500</v>
      </c>
      <c r="R210" s="15">
        <v>0</v>
      </c>
      <c r="S210" s="118">
        <v>500</v>
      </c>
      <c r="T210" s="15">
        <f t="shared" si="990"/>
        <v>-1000</v>
      </c>
      <c r="U210" s="16">
        <f t="shared" si="934"/>
        <v>-0.66666666666666674</v>
      </c>
      <c r="Y210" s="118">
        <v>15500</v>
      </c>
      <c r="Z210">
        <v>15500</v>
      </c>
      <c r="AA210" s="118">
        <v>12000</v>
      </c>
      <c r="AB210" s="185">
        <f t="shared" si="991"/>
        <v>-3500</v>
      </c>
      <c r="AC210" s="187">
        <f t="shared" si="992"/>
        <v>-3500</v>
      </c>
      <c r="AD210" s="187"/>
      <c r="AE210" s="118">
        <v>12000</v>
      </c>
      <c r="AF210" s="182"/>
      <c r="AH210" s="15">
        <v>10000</v>
      </c>
      <c r="AI210" s="17">
        <f t="shared" ref="AI210:AI211" si="1051">AH210/AE210</f>
        <v>0.83333333333333337</v>
      </c>
      <c r="AK210" s="118">
        <v>1000</v>
      </c>
      <c r="AS210" s="15">
        <f t="shared" si="993"/>
        <v>1000</v>
      </c>
      <c r="AV210" s="15">
        <f t="shared" si="961"/>
        <v>1000</v>
      </c>
      <c r="AX210" s="15"/>
      <c r="AY210" s="15">
        <f t="shared" si="994"/>
        <v>1000</v>
      </c>
      <c r="BB210" s="15">
        <f t="shared" si="995"/>
        <v>1000</v>
      </c>
      <c r="BD210" s="15"/>
      <c r="BE210" s="15">
        <f t="shared" si="996"/>
        <v>1000</v>
      </c>
      <c r="BG210" s="15">
        <v>1100</v>
      </c>
      <c r="BH210" s="15">
        <f t="shared" si="997"/>
        <v>2100</v>
      </c>
      <c r="BJ210" s="15">
        <v>2100</v>
      </c>
      <c r="BK210" s="235">
        <f t="shared" si="998"/>
        <v>1</v>
      </c>
      <c r="BM210" s="15">
        <v>1000</v>
      </c>
      <c r="BN210" s="235">
        <f t="shared" si="967"/>
        <v>0.47619047619047616</v>
      </c>
      <c r="BO210" s="235">
        <f t="shared" si="968"/>
        <v>0.47619047619047616</v>
      </c>
      <c r="BQ210" s="15"/>
      <c r="BR210" s="15">
        <f t="shared" si="999"/>
        <v>1000</v>
      </c>
      <c r="BT210" s="15"/>
      <c r="BU210" s="15">
        <f t="shared" si="1000"/>
        <v>1000</v>
      </c>
      <c r="BW210" s="15"/>
      <c r="BX210" s="15">
        <f t="shared" si="1001"/>
        <v>1000</v>
      </c>
      <c r="BZ210" s="15"/>
      <c r="CA210" s="15">
        <f t="shared" si="1002"/>
        <v>1000</v>
      </c>
      <c r="CC210" s="15"/>
      <c r="CD210" s="15">
        <f t="shared" si="1003"/>
        <v>1000</v>
      </c>
      <c r="CF210" s="15"/>
      <c r="CG210" s="15">
        <f t="shared" si="1004"/>
        <v>1000</v>
      </c>
      <c r="CI210" s="15"/>
      <c r="CJ210" s="15">
        <f t="shared" si="1005"/>
        <v>1000</v>
      </c>
      <c r="CL210" s="15">
        <v>9000</v>
      </c>
      <c r="CM210" s="15">
        <f t="shared" si="1006"/>
        <v>10000</v>
      </c>
      <c r="CO210" s="15">
        <v>2500</v>
      </c>
      <c r="CP210" s="15">
        <f t="shared" si="1007"/>
        <v>12500</v>
      </c>
      <c r="CS210" s="15">
        <f t="shared" si="1008"/>
        <v>12500</v>
      </c>
      <c r="CU210" s="227">
        <v>-500</v>
      </c>
      <c r="CV210" s="15">
        <f t="shared" si="1009"/>
        <v>12000</v>
      </c>
      <c r="CX210" s="227"/>
      <c r="CY210" s="15">
        <f t="shared" si="1010"/>
        <v>12000</v>
      </c>
      <c r="DA210" s="15">
        <v>11776</v>
      </c>
      <c r="DC210" s="15">
        <v>10000</v>
      </c>
      <c r="DE210" s="15"/>
      <c r="DF210" s="15">
        <f t="shared" si="1031"/>
        <v>10000</v>
      </c>
      <c r="DH210" s="15"/>
      <c r="DI210" s="15">
        <f t="shared" si="1032"/>
        <v>10000</v>
      </c>
      <c r="DK210" s="15"/>
      <c r="DL210" s="15">
        <f t="shared" si="1033"/>
        <v>10000</v>
      </c>
      <c r="DN210" s="15"/>
      <c r="DO210" s="15">
        <f t="shared" si="1034"/>
        <v>10000</v>
      </c>
      <c r="DQ210" s="15"/>
      <c r="DR210" s="15">
        <f t="shared" si="1035"/>
        <v>10000</v>
      </c>
      <c r="DT210" s="15"/>
      <c r="DU210" s="15">
        <f t="shared" si="1036"/>
        <v>10000</v>
      </c>
      <c r="DW210" s="15"/>
      <c r="DX210" s="15">
        <f t="shared" si="1037"/>
        <v>10000</v>
      </c>
      <c r="DZ210" s="15"/>
      <c r="EA210" s="15">
        <f t="shared" si="1038"/>
        <v>10000</v>
      </c>
      <c r="EC210" s="15"/>
      <c r="ED210" s="15">
        <f t="shared" si="1039"/>
        <v>10000</v>
      </c>
      <c r="EF210" s="227">
        <v>-6000</v>
      </c>
      <c r="EG210" s="15">
        <f t="shared" si="1040"/>
        <v>4000</v>
      </c>
      <c r="EI210" s="15">
        <v>3988.45</v>
      </c>
      <c r="EK210" s="15">
        <v>5000</v>
      </c>
      <c r="EM210" s="15"/>
      <c r="EN210" s="15">
        <f t="shared" si="1041"/>
        <v>5000</v>
      </c>
      <c r="EP210" s="15"/>
      <c r="EQ210" s="15">
        <f t="shared" si="1042"/>
        <v>5000</v>
      </c>
      <c r="ES210" s="15"/>
      <c r="ET210" s="15">
        <f t="shared" si="1043"/>
        <v>5000</v>
      </c>
      <c r="EW210" s="15">
        <f t="shared" si="1044"/>
        <v>5000</v>
      </c>
      <c r="EZ210" s="15">
        <f t="shared" si="1045"/>
        <v>5000</v>
      </c>
      <c r="FC210" s="15">
        <f>EZ210+FB210</f>
        <v>5000</v>
      </c>
      <c r="FF210" s="15">
        <f>FC210+FE210</f>
        <v>5000</v>
      </c>
      <c r="FI210" s="15">
        <f>FF210+FH210</f>
        <v>5000</v>
      </c>
      <c r="FL210" s="15">
        <f>FI210+FK210</f>
        <v>5000</v>
      </c>
      <c r="FO210" s="15">
        <f>FL210+FN210</f>
        <v>5000</v>
      </c>
      <c r="FR210" s="15">
        <v>5000</v>
      </c>
      <c r="FT210" s="15">
        <v>2300</v>
      </c>
      <c r="FV210" s="15">
        <v>6000</v>
      </c>
      <c r="FW210" s="235">
        <f t="shared" si="989"/>
        <v>2.6086956521739131</v>
      </c>
    </row>
    <row r="211" spans="1:179" outlineLevel="1">
      <c r="A211" s="1" t="s">
        <v>201</v>
      </c>
      <c r="B211" s="1" t="s">
        <v>117</v>
      </c>
      <c r="C211" s="4" t="s">
        <v>118</v>
      </c>
      <c r="D211" s="43">
        <v>160000</v>
      </c>
      <c r="E211" s="34">
        <v>17.87</v>
      </c>
      <c r="F211" s="43">
        <v>40000</v>
      </c>
      <c r="G211" s="34">
        <v>71.5</v>
      </c>
      <c r="H211" s="46">
        <v>28599</v>
      </c>
      <c r="I211" s="36">
        <v>28599</v>
      </c>
      <c r="J211" s="14"/>
      <c r="L211" s="118">
        <v>20000</v>
      </c>
      <c r="M211" s="17">
        <f t="shared" si="891"/>
        <v>-0.5</v>
      </c>
      <c r="N211" s="17">
        <f t="shared" si="892"/>
        <v>-0.30067484877093609</v>
      </c>
      <c r="Q211" s="118">
        <v>20000</v>
      </c>
      <c r="R211" s="15">
        <v>3993</v>
      </c>
      <c r="S211" s="118">
        <v>8000</v>
      </c>
      <c r="T211" s="15">
        <f t="shared" si="990"/>
        <v>-12000</v>
      </c>
      <c r="U211" s="16">
        <f t="shared" si="934"/>
        <v>-0.6</v>
      </c>
      <c r="Y211" s="118">
        <v>8000</v>
      </c>
      <c r="AA211" s="118">
        <v>8500</v>
      </c>
      <c r="AB211" s="185">
        <f t="shared" si="991"/>
        <v>500</v>
      </c>
      <c r="AC211" s="187">
        <f t="shared" si="992"/>
        <v>500</v>
      </c>
      <c r="AD211" s="187"/>
      <c r="AE211" s="118">
        <v>9400</v>
      </c>
      <c r="AF211" s="182">
        <f>AE211-AA211</f>
        <v>900</v>
      </c>
      <c r="AH211" s="15">
        <v>9338</v>
      </c>
      <c r="AI211" s="17">
        <f t="shared" si="1051"/>
        <v>0.99340425531914889</v>
      </c>
      <c r="AK211" s="118">
        <v>15000</v>
      </c>
      <c r="AS211" s="15">
        <f t="shared" si="993"/>
        <v>15000</v>
      </c>
      <c r="AV211" s="15">
        <f t="shared" si="961"/>
        <v>15000</v>
      </c>
      <c r="AX211" s="15"/>
      <c r="AY211" s="15">
        <f t="shared" si="994"/>
        <v>15000</v>
      </c>
      <c r="BB211" s="15">
        <f t="shared" si="995"/>
        <v>15000</v>
      </c>
      <c r="BD211" s="15">
        <v>-5000</v>
      </c>
      <c r="BE211" s="15">
        <f t="shared" si="996"/>
        <v>10000</v>
      </c>
      <c r="BG211" s="15">
        <v>-2200</v>
      </c>
      <c r="BH211" s="15">
        <f t="shared" si="997"/>
        <v>7800</v>
      </c>
      <c r="BJ211" s="15">
        <v>5156</v>
      </c>
      <c r="BK211" s="235">
        <f t="shared" si="998"/>
        <v>0.66102564102564099</v>
      </c>
      <c r="BM211" s="15">
        <v>8000</v>
      </c>
      <c r="BN211" s="235">
        <f t="shared" si="967"/>
        <v>1.5515903801396431</v>
      </c>
      <c r="BO211" s="235">
        <f t="shared" si="968"/>
        <v>1.0256410256410255</v>
      </c>
      <c r="BQ211" s="15"/>
      <c r="BR211" s="15">
        <f t="shared" si="999"/>
        <v>8000</v>
      </c>
      <c r="BT211" s="15"/>
      <c r="BU211" s="15">
        <f t="shared" si="1000"/>
        <v>8000</v>
      </c>
      <c r="BW211" s="15"/>
      <c r="BX211" s="15">
        <f t="shared" si="1001"/>
        <v>8000</v>
      </c>
      <c r="BZ211" s="15"/>
      <c r="CA211" s="15">
        <f t="shared" si="1002"/>
        <v>8000</v>
      </c>
      <c r="CC211" s="15"/>
      <c r="CD211" s="15">
        <f t="shared" si="1003"/>
        <v>8000</v>
      </c>
      <c r="CF211" s="15"/>
      <c r="CG211" s="15">
        <f t="shared" si="1004"/>
        <v>8000</v>
      </c>
      <c r="CH211">
        <v>6418.36</v>
      </c>
      <c r="CI211" s="227">
        <v>7000</v>
      </c>
      <c r="CJ211" s="15">
        <f t="shared" si="1005"/>
        <v>15000</v>
      </c>
      <c r="CM211" s="15">
        <f t="shared" si="1006"/>
        <v>15000</v>
      </c>
      <c r="CP211" s="15">
        <f t="shared" si="1007"/>
        <v>15000</v>
      </c>
      <c r="CS211" s="15">
        <f t="shared" si="1008"/>
        <v>15000</v>
      </c>
      <c r="CU211" s="227">
        <v>3000</v>
      </c>
      <c r="CV211" s="15">
        <f t="shared" si="1009"/>
        <v>18000</v>
      </c>
      <c r="CX211" s="227"/>
      <c r="CY211" s="15">
        <f t="shared" si="1010"/>
        <v>18000</v>
      </c>
      <c r="DA211" s="15">
        <v>17718.36</v>
      </c>
      <c r="DC211" s="15">
        <v>70000</v>
      </c>
      <c r="DE211" s="15"/>
      <c r="DF211" s="15">
        <f t="shared" si="1031"/>
        <v>70000</v>
      </c>
      <c r="DH211" s="15"/>
      <c r="DI211" s="15">
        <f t="shared" si="1032"/>
        <v>70000</v>
      </c>
      <c r="DK211" s="15"/>
      <c r="DL211" s="15">
        <f t="shared" si="1033"/>
        <v>70000</v>
      </c>
      <c r="DN211" s="15"/>
      <c r="DO211" s="15">
        <f t="shared" si="1034"/>
        <v>70000</v>
      </c>
      <c r="DQ211" s="227">
        <v>65000</v>
      </c>
      <c r="DR211" s="15">
        <f t="shared" si="1035"/>
        <v>135000</v>
      </c>
      <c r="DT211" s="15"/>
      <c r="DU211" s="15">
        <f t="shared" si="1036"/>
        <v>135000</v>
      </c>
      <c r="DW211" s="15"/>
      <c r="DX211" s="15">
        <f t="shared" si="1037"/>
        <v>135000</v>
      </c>
      <c r="DZ211" s="227">
        <v>2000</v>
      </c>
      <c r="EA211" s="15">
        <f t="shared" si="1038"/>
        <v>137000</v>
      </c>
      <c r="EC211" s="15"/>
      <c r="ED211" s="15">
        <f t="shared" si="1039"/>
        <v>137000</v>
      </c>
      <c r="EF211" s="15"/>
      <c r="EG211" s="15">
        <f t="shared" si="1040"/>
        <v>137000</v>
      </c>
      <c r="EI211" s="15">
        <v>136271.85999999999</v>
      </c>
      <c r="EK211" s="15">
        <v>5000</v>
      </c>
      <c r="EM211" s="15"/>
      <c r="EN211" s="15">
        <f t="shared" si="1041"/>
        <v>5000</v>
      </c>
      <c r="EP211" s="15"/>
      <c r="EQ211" s="15">
        <f t="shared" si="1042"/>
        <v>5000</v>
      </c>
      <c r="ES211" s="15"/>
      <c r="ET211" s="15">
        <f t="shared" si="1043"/>
        <v>5000</v>
      </c>
      <c r="EW211" s="15">
        <f t="shared" si="1044"/>
        <v>5000</v>
      </c>
      <c r="EZ211" s="15">
        <f t="shared" si="1045"/>
        <v>5000</v>
      </c>
      <c r="FC211" s="15">
        <f>EZ211+FB211</f>
        <v>5000</v>
      </c>
      <c r="FF211" s="15">
        <f>FC211+FE211</f>
        <v>5000</v>
      </c>
      <c r="FI211" s="15">
        <f>FF211+FH211</f>
        <v>5000</v>
      </c>
      <c r="FK211" s="227">
        <v>20000</v>
      </c>
      <c r="FL211" s="15">
        <f>FI211+FK211</f>
        <v>25000</v>
      </c>
      <c r="FO211" s="15">
        <f>FL211+FN211</f>
        <v>25000</v>
      </c>
      <c r="FR211" s="15">
        <v>25000</v>
      </c>
      <c r="FT211" s="15">
        <v>21711</v>
      </c>
      <c r="FV211" s="15">
        <v>25000</v>
      </c>
      <c r="FW211" s="235">
        <f t="shared" si="989"/>
        <v>1.1514900280963567</v>
      </c>
    </row>
    <row r="212" spans="1:179" outlineLevel="1">
      <c r="A212" s="1" t="s">
        <v>201</v>
      </c>
      <c r="B212" s="1" t="s">
        <v>206</v>
      </c>
      <c r="C212" s="4" t="s">
        <v>207</v>
      </c>
      <c r="D212" s="43">
        <v>1000</v>
      </c>
      <c r="E212" s="34">
        <v>45.1</v>
      </c>
      <c r="F212" s="43">
        <v>1000</v>
      </c>
      <c r="G212" s="34">
        <v>45.1</v>
      </c>
      <c r="H212" s="46">
        <v>451</v>
      </c>
      <c r="I212" s="36">
        <v>451</v>
      </c>
      <c r="J212" s="14"/>
      <c r="L212" s="118">
        <v>1000</v>
      </c>
      <c r="M212" s="17">
        <f t="shared" si="891"/>
        <v>0</v>
      </c>
      <c r="N212" s="17">
        <f t="shared" si="892"/>
        <v>1.2172949002217295</v>
      </c>
      <c r="Q212" s="118">
        <v>1000</v>
      </c>
      <c r="R212" s="15">
        <v>0</v>
      </c>
      <c r="S212" s="118">
        <v>500</v>
      </c>
      <c r="T212" s="15">
        <f t="shared" si="990"/>
        <v>-500</v>
      </c>
      <c r="U212" s="16">
        <f t="shared" si="934"/>
        <v>-0.5</v>
      </c>
      <c r="Y212" s="118">
        <v>500</v>
      </c>
      <c r="AA212" s="118">
        <v>0</v>
      </c>
      <c r="AB212" s="185">
        <f t="shared" si="991"/>
        <v>-500</v>
      </c>
      <c r="AC212" s="187">
        <f t="shared" si="992"/>
        <v>-500</v>
      </c>
      <c r="AD212" s="187"/>
      <c r="AE212" s="118">
        <v>0</v>
      </c>
      <c r="AF212" s="182"/>
      <c r="AH212" s="15">
        <v>0</v>
      </c>
      <c r="AK212" s="118">
        <v>1000</v>
      </c>
      <c r="AS212" s="15">
        <f t="shared" si="993"/>
        <v>1000</v>
      </c>
      <c r="AV212" s="15">
        <f t="shared" si="961"/>
        <v>1000</v>
      </c>
      <c r="AX212" s="15"/>
      <c r="AY212" s="15">
        <f t="shared" si="994"/>
        <v>1000</v>
      </c>
      <c r="BB212" s="15">
        <f t="shared" si="995"/>
        <v>1000</v>
      </c>
      <c r="BD212" s="15"/>
      <c r="BE212" s="15">
        <f t="shared" si="996"/>
        <v>1000</v>
      </c>
      <c r="BG212" s="15"/>
      <c r="BH212" s="15">
        <f t="shared" si="997"/>
        <v>1000</v>
      </c>
      <c r="BJ212" s="15">
        <v>0</v>
      </c>
      <c r="BK212" s="235">
        <f t="shared" si="998"/>
        <v>0</v>
      </c>
      <c r="BM212" s="15">
        <v>0</v>
      </c>
      <c r="BN212" s="235" t="e">
        <f t="shared" si="967"/>
        <v>#DIV/0!</v>
      </c>
      <c r="BO212" s="235">
        <f t="shared" si="968"/>
        <v>0</v>
      </c>
      <c r="BQ212" s="15"/>
      <c r="BR212" s="15">
        <f t="shared" si="999"/>
        <v>0</v>
      </c>
      <c r="BT212" s="15"/>
      <c r="BU212" s="15">
        <f t="shared" si="1000"/>
        <v>0</v>
      </c>
      <c r="BW212" s="15"/>
      <c r="BX212" s="15">
        <f t="shared" si="1001"/>
        <v>0</v>
      </c>
      <c r="BZ212" s="15"/>
      <c r="CA212" s="15">
        <f t="shared" si="1002"/>
        <v>0</v>
      </c>
      <c r="CC212" s="15"/>
      <c r="CD212" s="15">
        <f t="shared" si="1003"/>
        <v>0</v>
      </c>
      <c r="CF212" s="15"/>
      <c r="CG212" s="15">
        <f t="shared" si="1004"/>
        <v>0</v>
      </c>
      <c r="CI212" s="15"/>
      <c r="CJ212" s="15">
        <f t="shared" si="1005"/>
        <v>0</v>
      </c>
      <c r="CM212" s="15">
        <f t="shared" si="1006"/>
        <v>0</v>
      </c>
      <c r="CP212" s="15">
        <f t="shared" si="1007"/>
        <v>0</v>
      </c>
      <c r="CS212" s="15">
        <f t="shared" si="1008"/>
        <v>0</v>
      </c>
      <c r="CV212" s="15">
        <f t="shared" si="1009"/>
        <v>0</v>
      </c>
      <c r="CY212" s="15">
        <f t="shared" si="1010"/>
        <v>0</v>
      </c>
      <c r="DE212" s="15"/>
      <c r="DF212" s="15">
        <f t="shared" si="1031"/>
        <v>0</v>
      </c>
      <c r="DH212" s="15"/>
      <c r="DI212" s="15">
        <f t="shared" si="1032"/>
        <v>0</v>
      </c>
      <c r="DK212" s="15"/>
      <c r="DL212" s="15">
        <f t="shared" si="1033"/>
        <v>0</v>
      </c>
      <c r="DN212" s="15"/>
      <c r="DO212" s="15">
        <f t="shared" si="1034"/>
        <v>0</v>
      </c>
      <c r="DQ212" s="15"/>
      <c r="DR212" s="15">
        <f t="shared" si="1035"/>
        <v>0</v>
      </c>
      <c r="DT212" s="15"/>
      <c r="DU212" s="15">
        <f t="shared" si="1036"/>
        <v>0</v>
      </c>
      <c r="DW212" s="15"/>
      <c r="DX212" s="15">
        <f t="shared" si="1037"/>
        <v>0</v>
      </c>
      <c r="DZ212" s="15"/>
      <c r="EA212" s="15">
        <f t="shared" si="1038"/>
        <v>0</v>
      </c>
      <c r="EC212" s="15"/>
      <c r="ED212" s="15">
        <f t="shared" si="1039"/>
        <v>0</v>
      </c>
      <c r="EF212" s="15"/>
      <c r="EG212" s="15">
        <f t="shared" si="1040"/>
        <v>0</v>
      </c>
      <c r="EK212" s="15"/>
      <c r="EM212" s="15"/>
      <c r="EN212" s="15">
        <f t="shared" si="1041"/>
        <v>0</v>
      </c>
      <c r="EP212" s="15"/>
      <c r="EQ212" s="15">
        <f t="shared" si="1042"/>
        <v>0</v>
      </c>
      <c r="ES212" s="15"/>
      <c r="ET212" s="15">
        <f t="shared" si="1043"/>
        <v>0</v>
      </c>
      <c r="EW212" s="15">
        <f t="shared" si="1044"/>
        <v>0</v>
      </c>
      <c r="EZ212" s="15">
        <f t="shared" si="1045"/>
        <v>0</v>
      </c>
      <c r="FC212" s="15">
        <f t="shared" si="1046"/>
        <v>0</v>
      </c>
      <c r="FF212" s="15">
        <f t="shared" ref="FF212:FF213" si="1052">FC212+FE212</f>
        <v>0</v>
      </c>
      <c r="FI212" s="15">
        <f t="shared" ref="FI212:FI213" si="1053">FF212+FH212</f>
        <v>0</v>
      </c>
      <c r="FL212" s="15">
        <f t="shared" ref="FL212:FL213" si="1054">FI212+FK212</f>
        <v>0</v>
      </c>
      <c r="FO212" s="15">
        <f t="shared" ref="FO212:FO213" si="1055">FL212+FN212</f>
        <v>0</v>
      </c>
      <c r="FR212" s="15">
        <v>0</v>
      </c>
      <c r="FW212" s="235" t="e">
        <f t="shared" si="989"/>
        <v>#DIV/0!</v>
      </c>
    </row>
    <row r="213" spans="1:179" outlineLevel="1">
      <c r="A213" s="1" t="s">
        <v>201</v>
      </c>
      <c r="B213" s="1" t="s">
        <v>148</v>
      </c>
      <c r="C213" s="4" t="s">
        <v>149</v>
      </c>
      <c r="D213" s="43"/>
      <c r="E213" s="34"/>
      <c r="F213" s="43"/>
      <c r="G213" s="34"/>
      <c r="H213" s="46"/>
      <c r="I213" s="36"/>
      <c r="J213" s="14"/>
      <c r="M213" s="17"/>
      <c r="N213" s="17"/>
      <c r="U213" s="16"/>
      <c r="Y213" s="118">
        <v>2500</v>
      </c>
      <c r="Z213">
        <v>2500</v>
      </c>
      <c r="AA213" s="118">
        <v>1600</v>
      </c>
      <c r="AB213" s="185">
        <f t="shared" si="991"/>
        <v>-900</v>
      </c>
      <c r="AC213" s="187">
        <f t="shared" si="992"/>
        <v>-900</v>
      </c>
      <c r="AD213" s="187"/>
      <c r="AE213" s="118">
        <v>1600</v>
      </c>
      <c r="AF213" s="182"/>
      <c r="AH213" s="15">
        <v>1600</v>
      </c>
      <c r="AI213" s="17">
        <f t="shared" ref="AI213" si="1056">AH213/AE213</f>
        <v>1</v>
      </c>
      <c r="AK213" s="118">
        <v>0</v>
      </c>
      <c r="AS213" s="15">
        <f t="shared" si="993"/>
        <v>0</v>
      </c>
      <c r="AV213" s="15">
        <f t="shared" si="961"/>
        <v>0</v>
      </c>
      <c r="AX213" s="15"/>
      <c r="AY213" s="15">
        <f t="shared" si="994"/>
        <v>0</v>
      </c>
      <c r="BB213" s="15">
        <f t="shared" si="995"/>
        <v>0</v>
      </c>
      <c r="BD213" s="15"/>
      <c r="BE213" s="15">
        <f t="shared" si="996"/>
        <v>0</v>
      </c>
      <c r="BG213" s="15"/>
      <c r="BH213" s="15">
        <f t="shared" si="997"/>
        <v>0</v>
      </c>
      <c r="BJ213" s="15">
        <v>0</v>
      </c>
      <c r="BK213" s="235" t="e">
        <f t="shared" si="998"/>
        <v>#DIV/0!</v>
      </c>
      <c r="BM213" s="15">
        <v>0</v>
      </c>
      <c r="BN213" s="235" t="e">
        <f t="shared" si="967"/>
        <v>#DIV/0!</v>
      </c>
      <c r="BO213" s="235" t="e">
        <f t="shared" si="968"/>
        <v>#DIV/0!</v>
      </c>
      <c r="BQ213" s="15"/>
      <c r="BR213" s="15">
        <f t="shared" si="999"/>
        <v>0</v>
      </c>
      <c r="BT213" s="15"/>
      <c r="BU213" s="15">
        <f t="shared" si="1000"/>
        <v>0</v>
      </c>
      <c r="BW213" s="15"/>
      <c r="BX213" s="15">
        <f t="shared" si="1001"/>
        <v>0</v>
      </c>
      <c r="BZ213" s="15"/>
      <c r="CA213" s="15">
        <f t="shared" si="1002"/>
        <v>0</v>
      </c>
      <c r="CC213" s="15"/>
      <c r="CD213" s="15">
        <f t="shared" si="1003"/>
        <v>0</v>
      </c>
      <c r="CF213" s="15"/>
      <c r="CG213" s="15">
        <f t="shared" si="1004"/>
        <v>0</v>
      </c>
      <c r="CI213" s="15"/>
      <c r="CJ213" s="15">
        <f t="shared" si="1005"/>
        <v>0</v>
      </c>
      <c r="CM213" s="15">
        <f t="shared" si="1006"/>
        <v>0</v>
      </c>
      <c r="CP213" s="15">
        <f t="shared" si="1007"/>
        <v>0</v>
      </c>
      <c r="CS213" s="15">
        <f t="shared" si="1008"/>
        <v>0</v>
      </c>
      <c r="CV213" s="15">
        <f t="shared" si="1009"/>
        <v>0</v>
      </c>
      <c r="CY213" s="15">
        <f t="shared" si="1010"/>
        <v>0</v>
      </c>
      <c r="DE213" s="15"/>
      <c r="DF213" s="15">
        <f t="shared" si="1031"/>
        <v>0</v>
      </c>
      <c r="DH213" s="15"/>
      <c r="DI213" s="15">
        <f t="shared" si="1032"/>
        <v>0</v>
      </c>
      <c r="DK213" s="15"/>
      <c r="DL213" s="15">
        <f t="shared" si="1033"/>
        <v>0</v>
      </c>
      <c r="DN213" s="15"/>
      <c r="DO213" s="15">
        <f t="shared" si="1034"/>
        <v>0</v>
      </c>
      <c r="DQ213" s="15"/>
      <c r="DR213" s="15">
        <f t="shared" si="1035"/>
        <v>0</v>
      </c>
      <c r="DT213" s="15"/>
      <c r="DU213" s="15">
        <f t="shared" si="1036"/>
        <v>0</v>
      </c>
      <c r="DW213" s="15"/>
      <c r="DX213" s="15">
        <f t="shared" si="1037"/>
        <v>0</v>
      </c>
      <c r="DZ213" s="15"/>
      <c r="EA213" s="15">
        <f t="shared" si="1038"/>
        <v>0</v>
      </c>
      <c r="EC213" s="15"/>
      <c r="ED213" s="15">
        <f t="shared" si="1039"/>
        <v>0</v>
      </c>
      <c r="EF213" s="15"/>
      <c r="EG213" s="15">
        <f t="shared" si="1040"/>
        <v>0</v>
      </c>
      <c r="EK213" s="15"/>
      <c r="EM213" s="15"/>
      <c r="EN213" s="15">
        <f t="shared" si="1041"/>
        <v>0</v>
      </c>
      <c r="EP213" s="15"/>
      <c r="EQ213" s="15">
        <f t="shared" si="1042"/>
        <v>0</v>
      </c>
      <c r="ES213" s="15"/>
      <c r="ET213" s="15">
        <f t="shared" si="1043"/>
        <v>0</v>
      </c>
      <c r="EW213" s="15">
        <f t="shared" si="1044"/>
        <v>0</v>
      </c>
      <c r="EZ213" s="15">
        <f t="shared" si="1045"/>
        <v>0</v>
      </c>
      <c r="FC213" s="15">
        <f t="shared" si="1046"/>
        <v>0</v>
      </c>
      <c r="FF213" s="15">
        <f t="shared" si="1052"/>
        <v>0</v>
      </c>
      <c r="FH213" s="227">
        <v>700</v>
      </c>
      <c r="FI213" s="15">
        <f t="shared" si="1053"/>
        <v>700</v>
      </c>
      <c r="FL213" s="15">
        <f t="shared" si="1054"/>
        <v>700</v>
      </c>
      <c r="FO213" s="15">
        <f t="shared" si="1055"/>
        <v>700</v>
      </c>
      <c r="FR213" s="15">
        <v>700</v>
      </c>
      <c r="FT213" s="15">
        <v>634</v>
      </c>
      <c r="FV213" s="15">
        <v>500</v>
      </c>
      <c r="FW213" s="235">
        <f t="shared" si="989"/>
        <v>0.78864353312302837</v>
      </c>
    </row>
    <row r="214" spans="1:179" outlineLevel="1">
      <c r="A214" s="1" t="s">
        <v>201</v>
      </c>
      <c r="B214" s="1" t="s">
        <v>150</v>
      </c>
      <c r="C214" s="4" t="s">
        <v>151</v>
      </c>
      <c r="D214" s="43">
        <v>500</v>
      </c>
      <c r="E214" s="34">
        <v>0</v>
      </c>
      <c r="F214" s="43">
        <v>500</v>
      </c>
      <c r="G214" s="34">
        <v>0</v>
      </c>
      <c r="H214" s="46">
        <v>0</v>
      </c>
      <c r="I214" s="36">
        <v>0</v>
      </c>
      <c r="J214" s="14"/>
      <c r="L214" s="118">
        <v>0</v>
      </c>
      <c r="M214" s="17">
        <f t="shared" si="891"/>
        <v>-1</v>
      </c>
      <c r="N214" s="17" t="e">
        <f t="shared" si="892"/>
        <v>#DIV/0!</v>
      </c>
      <c r="U214" s="16"/>
      <c r="Y214" s="118"/>
      <c r="AB214" s="185">
        <f t="shared" si="991"/>
        <v>0</v>
      </c>
      <c r="AC214" s="187">
        <f t="shared" si="992"/>
        <v>0</v>
      </c>
      <c r="AD214" s="187"/>
      <c r="AF214" s="182"/>
      <c r="AH214" s="15"/>
      <c r="AX214" s="15"/>
      <c r="BD214" s="15"/>
      <c r="BG214" s="15"/>
      <c r="BM214" s="15">
        <v>0</v>
      </c>
      <c r="BN214" s="235" t="e">
        <f t="shared" si="967"/>
        <v>#DIV/0!</v>
      </c>
      <c r="BO214" s="235" t="e">
        <f t="shared" si="968"/>
        <v>#DIV/0!</v>
      </c>
      <c r="BQ214" s="15"/>
      <c r="BR214" s="15">
        <f t="shared" si="999"/>
        <v>0</v>
      </c>
      <c r="BT214" s="15"/>
      <c r="BU214" s="15">
        <f t="shared" si="1000"/>
        <v>0</v>
      </c>
      <c r="BW214" s="15"/>
      <c r="BX214" s="15">
        <f t="shared" si="1001"/>
        <v>0</v>
      </c>
      <c r="BZ214" s="15"/>
      <c r="CA214" s="15">
        <f t="shared" si="1002"/>
        <v>0</v>
      </c>
      <c r="CC214" s="15"/>
      <c r="CD214" s="15">
        <f t="shared" si="1003"/>
        <v>0</v>
      </c>
      <c r="CF214" s="15"/>
      <c r="CG214" s="15">
        <f t="shared" si="1004"/>
        <v>0</v>
      </c>
      <c r="CI214" s="15"/>
      <c r="CJ214" s="15">
        <f t="shared" si="1005"/>
        <v>0</v>
      </c>
      <c r="CM214" s="15">
        <f t="shared" si="1006"/>
        <v>0</v>
      </c>
      <c r="CP214" s="15">
        <f t="shared" si="1007"/>
        <v>0</v>
      </c>
      <c r="CS214" s="15">
        <f t="shared" si="1008"/>
        <v>0</v>
      </c>
      <c r="CV214" s="15">
        <f t="shared" si="1009"/>
        <v>0</v>
      </c>
      <c r="CY214" s="15">
        <f t="shared" si="1010"/>
        <v>0</v>
      </c>
      <c r="DE214" s="15"/>
      <c r="DH214" s="15"/>
      <c r="DK214" s="15"/>
      <c r="DN214" s="15"/>
      <c r="DQ214" s="15"/>
      <c r="DT214" s="15"/>
      <c r="DW214" s="15"/>
      <c r="DZ214" s="15"/>
      <c r="EC214" s="15"/>
      <c r="EF214" s="15"/>
      <c r="EK214" s="15"/>
      <c r="EM214" s="15"/>
      <c r="EP214" s="15"/>
      <c r="ES214" s="15"/>
      <c r="FM214" t="s">
        <v>435</v>
      </c>
      <c r="FW214" s="235" t="e">
        <f t="shared" si="989"/>
        <v>#DIV/0!</v>
      </c>
    </row>
    <row r="215" spans="1:179" outlineLevel="1">
      <c r="A215" s="1" t="s">
        <v>201</v>
      </c>
      <c r="B215" s="1" t="s">
        <v>107</v>
      </c>
      <c r="C215" s="4" t="s">
        <v>108</v>
      </c>
      <c r="D215" s="43">
        <v>10000</v>
      </c>
      <c r="E215" s="34">
        <v>100</v>
      </c>
      <c r="F215" s="43">
        <v>10000</v>
      </c>
      <c r="G215" s="34">
        <v>100</v>
      </c>
      <c r="H215" s="46">
        <v>10000</v>
      </c>
      <c r="I215" s="36">
        <f>H215</f>
        <v>10000</v>
      </c>
      <c r="J215" s="14"/>
      <c r="L215" s="118">
        <v>10000</v>
      </c>
      <c r="M215" s="17">
        <f t="shared" si="891"/>
        <v>0</v>
      </c>
      <c r="N215" s="17">
        <f t="shared" si="892"/>
        <v>0</v>
      </c>
      <c r="Q215" s="118">
        <v>10000</v>
      </c>
      <c r="R215" s="15">
        <v>10000</v>
      </c>
      <c r="S215" s="118">
        <v>10000</v>
      </c>
      <c r="T215" s="15">
        <f t="shared" si="990"/>
        <v>0</v>
      </c>
      <c r="U215" s="16">
        <f t="shared" si="934"/>
        <v>0</v>
      </c>
      <c r="Y215" s="118">
        <v>10000</v>
      </c>
      <c r="AA215" s="118">
        <v>10000</v>
      </c>
      <c r="AB215" s="185">
        <f t="shared" si="991"/>
        <v>0</v>
      </c>
      <c r="AC215" s="187">
        <f>AA215-Y215</f>
        <v>0</v>
      </c>
      <c r="AD215" s="187"/>
      <c r="AE215" s="118">
        <v>10000</v>
      </c>
      <c r="AF215" s="182"/>
      <c r="AH215" s="15">
        <v>10000</v>
      </c>
      <c r="AI215" s="17">
        <f t="shared" ref="AI215:AI216" si="1057">AH215/AE215</f>
        <v>1</v>
      </c>
      <c r="AK215" s="118">
        <v>10000</v>
      </c>
      <c r="AS215" s="15">
        <f t="shared" ref="AS215:AS220" si="1058">AR215+AK215</f>
        <v>10000</v>
      </c>
      <c r="AV215" s="15">
        <f t="shared" ref="AV215:AV220" si="1059">AS215+AU215</f>
        <v>10000</v>
      </c>
      <c r="AX215" s="15"/>
      <c r="AY215" s="15">
        <f t="shared" ref="AY215:AY220" si="1060">AV215+AX215</f>
        <v>10000</v>
      </c>
      <c r="BB215" s="15">
        <f t="shared" ref="BB215:BB220" si="1061">AY215+BA215</f>
        <v>10000</v>
      </c>
      <c r="BD215" s="15">
        <v>-10000</v>
      </c>
      <c r="BE215" s="15">
        <f t="shared" ref="BE215:BE220" si="1062">BB215+BD215</f>
        <v>0</v>
      </c>
      <c r="BG215" s="15"/>
      <c r="BH215" s="15">
        <f t="shared" ref="BH215:BH220" si="1063">BE215+BG215</f>
        <v>0</v>
      </c>
      <c r="BJ215" s="15">
        <v>0</v>
      </c>
      <c r="BM215" s="15">
        <v>10000</v>
      </c>
      <c r="BN215" s="235" t="e">
        <f t="shared" si="967"/>
        <v>#DIV/0!</v>
      </c>
      <c r="BO215" s="235" t="e">
        <f t="shared" si="968"/>
        <v>#DIV/0!</v>
      </c>
      <c r="BQ215" s="15"/>
      <c r="BR215" s="15">
        <f t="shared" si="999"/>
        <v>10000</v>
      </c>
      <c r="BT215" s="15"/>
      <c r="BU215" s="15">
        <f t="shared" si="1000"/>
        <v>10000</v>
      </c>
      <c r="BW215" s="15"/>
      <c r="BX215" s="15">
        <f t="shared" si="1001"/>
        <v>10000</v>
      </c>
      <c r="BZ215" s="15"/>
      <c r="CA215" s="15">
        <f t="shared" si="1002"/>
        <v>10000</v>
      </c>
      <c r="CC215" s="15"/>
      <c r="CD215" s="15">
        <f t="shared" si="1003"/>
        <v>10000</v>
      </c>
      <c r="CF215" s="15"/>
      <c r="CG215" s="15">
        <f t="shared" si="1004"/>
        <v>10000</v>
      </c>
      <c r="CI215" s="15"/>
      <c r="CJ215" s="15">
        <f t="shared" si="1005"/>
        <v>10000</v>
      </c>
      <c r="CM215" s="15">
        <f t="shared" si="1006"/>
        <v>10000</v>
      </c>
      <c r="CP215" s="15">
        <f t="shared" si="1007"/>
        <v>10000</v>
      </c>
      <c r="CS215" s="15">
        <f t="shared" si="1008"/>
        <v>10000</v>
      </c>
      <c r="CV215" s="15">
        <f t="shared" si="1009"/>
        <v>10000</v>
      </c>
      <c r="CY215" s="15">
        <f t="shared" si="1010"/>
        <v>10000</v>
      </c>
      <c r="DA215" s="15">
        <v>10000</v>
      </c>
      <c r="DC215" s="15">
        <v>20000</v>
      </c>
      <c r="DE215" s="15"/>
      <c r="DF215" s="15">
        <f t="shared" ref="DF215:DF220" si="1064">DC215+DE215</f>
        <v>20000</v>
      </c>
      <c r="DH215" s="15"/>
      <c r="DI215" s="15">
        <f t="shared" ref="DI215:DI220" si="1065">DF215+DH215</f>
        <v>20000</v>
      </c>
      <c r="DK215" s="15"/>
      <c r="DL215" s="15">
        <f t="shared" ref="DL215:DL220" si="1066">DI215+DK215</f>
        <v>20000</v>
      </c>
      <c r="DN215" s="15"/>
      <c r="DO215" s="15">
        <f t="shared" ref="DO215:DO220" si="1067">DL215+DN215</f>
        <v>20000</v>
      </c>
      <c r="DQ215" s="15"/>
      <c r="DR215" s="15">
        <f t="shared" ref="DR215:DR220" si="1068">DO215+DQ215</f>
        <v>20000</v>
      </c>
      <c r="DT215" s="15"/>
      <c r="DU215" s="15">
        <f t="shared" ref="DU215:DU220" si="1069">DR215+DT215</f>
        <v>20000</v>
      </c>
      <c r="DW215" s="15"/>
      <c r="DX215" s="15">
        <f t="shared" ref="DX215:DX220" si="1070">DU215+DW215</f>
        <v>20000</v>
      </c>
      <c r="DZ215" s="15"/>
      <c r="EA215" s="15">
        <f t="shared" ref="EA215:EA220" si="1071">DX215+DZ215</f>
        <v>20000</v>
      </c>
      <c r="EC215" s="15"/>
      <c r="ED215" s="15">
        <f t="shared" ref="ED215:ED220" si="1072">EA215+EC215</f>
        <v>20000</v>
      </c>
      <c r="EF215" s="15"/>
      <c r="EG215" s="15">
        <f t="shared" ref="EG215:EG220" si="1073">ED215+EF215</f>
        <v>20000</v>
      </c>
      <c r="EI215" s="15">
        <v>20000</v>
      </c>
      <c r="EK215" s="15">
        <v>10000</v>
      </c>
      <c r="EM215" s="15"/>
      <c r="EN215" s="15">
        <f t="shared" ref="EN215:EN220" si="1074">EK215+EM215</f>
        <v>10000</v>
      </c>
      <c r="EP215" s="15"/>
      <c r="EQ215" s="15">
        <f t="shared" ref="EQ215:EQ220" si="1075">EN215+EP215</f>
        <v>10000</v>
      </c>
      <c r="ES215" s="15"/>
      <c r="ET215" s="15">
        <f t="shared" ref="ET215:ET220" si="1076">EQ215+ES215</f>
        <v>10000</v>
      </c>
      <c r="EW215" s="15">
        <f t="shared" ref="EW215:EW220" si="1077">ET215+EV215</f>
        <v>10000</v>
      </c>
      <c r="EZ215" s="15">
        <f t="shared" ref="EZ215:EZ220" si="1078">EW215+EY215</f>
        <v>10000</v>
      </c>
      <c r="FB215" s="227">
        <v>-10000</v>
      </c>
      <c r="FC215" s="15">
        <f t="shared" ref="FC215:FC220" si="1079">EZ215+FB215</f>
        <v>0</v>
      </c>
      <c r="FF215" s="15">
        <f t="shared" ref="FF215:FF220" si="1080">FC215+FE215</f>
        <v>0</v>
      </c>
      <c r="FH215" s="227">
        <v>10000</v>
      </c>
      <c r="FI215" s="15">
        <f t="shared" ref="FI215:FI220" si="1081">FF215+FH215</f>
        <v>10000</v>
      </c>
      <c r="FL215" s="15">
        <f t="shared" ref="FL215:FL220" si="1082">FI215+FK215</f>
        <v>10000</v>
      </c>
      <c r="FO215" s="15">
        <f t="shared" ref="FO215:FO220" si="1083">FL215+FN215</f>
        <v>10000</v>
      </c>
      <c r="FR215" s="15">
        <v>10000</v>
      </c>
      <c r="FT215" s="15">
        <v>10000</v>
      </c>
      <c r="FV215" s="15">
        <v>10000</v>
      </c>
      <c r="FW215" s="235">
        <f t="shared" si="989"/>
        <v>1</v>
      </c>
    </row>
    <row r="216" spans="1:179" outlineLevel="1">
      <c r="A216" s="1" t="s">
        <v>201</v>
      </c>
      <c r="B216" s="1" t="s">
        <v>249</v>
      </c>
      <c r="C216" s="4" t="s">
        <v>420</v>
      </c>
      <c r="D216" s="43"/>
      <c r="E216" s="34"/>
      <c r="F216" s="43"/>
      <c r="G216" s="34"/>
      <c r="H216" s="46"/>
      <c r="I216" s="36"/>
      <c r="J216" s="14"/>
      <c r="M216" s="17"/>
      <c r="N216" s="17"/>
      <c r="U216" s="16"/>
      <c r="Y216" s="118"/>
      <c r="AA216" s="118">
        <v>1300</v>
      </c>
      <c r="AB216" s="185">
        <f t="shared" si="991"/>
        <v>1300</v>
      </c>
      <c r="AC216" s="187">
        <f>AA216-Y216</f>
        <v>1300</v>
      </c>
      <c r="AD216" s="187"/>
      <c r="AE216" s="118">
        <v>1300</v>
      </c>
      <c r="AF216" s="182"/>
      <c r="AH216" s="15">
        <v>1300</v>
      </c>
      <c r="AI216" s="17">
        <f t="shared" si="1057"/>
        <v>1</v>
      </c>
      <c r="AK216" s="118">
        <v>0</v>
      </c>
      <c r="AS216" s="15">
        <f t="shared" si="1058"/>
        <v>0</v>
      </c>
      <c r="AV216" s="15">
        <f t="shared" si="1059"/>
        <v>0</v>
      </c>
      <c r="AX216" s="15"/>
      <c r="AY216" s="15">
        <f t="shared" si="1060"/>
        <v>0</v>
      </c>
      <c r="BB216" s="15">
        <f t="shared" si="1061"/>
        <v>0</v>
      </c>
      <c r="BD216" s="15"/>
      <c r="BE216" s="15">
        <f t="shared" si="1062"/>
        <v>0</v>
      </c>
      <c r="BG216" s="15"/>
      <c r="BH216" s="15">
        <f t="shared" si="1063"/>
        <v>0</v>
      </c>
      <c r="BJ216" s="15">
        <v>0</v>
      </c>
      <c r="BM216" s="15">
        <v>0</v>
      </c>
      <c r="BN216" s="235" t="e">
        <f t="shared" si="967"/>
        <v>#DIV/0!</v>
      </c>
      <c r="BO216" s="235" t="e">
        <f t="shared" si="968"/>
        <v>#DIV/0!</v>
      </c>
      <c r="BQ216" s="15"/>
      <c r="BR216" s="15">
        <f t="shared" si="999"/>
        <v>0</v>
      </c>
      <c r="BT216" s="15"/>
      <c r="BU216" s="15">
        <f t="shared" si="1000"/>
        <v>0</v>
      </c>
      <c r="BW216" s="15"/>
      <c r="BX216" s="15">
        <f t="shared" si="1001"/>
        <v>0</v>
      </c>
      <c r="BZ216" s="15"/>
      <c r="CA216" s="15">
        <f t="shared" si="1002"/>
        <v>0</v>
      </c>
      <c r="CC216" s="15"/>
      <c r="CD216" s="15">
        <f t="shared" si="1003"/>
        <v>0</v>
      </c>
      <c r="CF216" s="15"/>
      <c r="CG216" s="15">
        <f t="shared" si="1004"/>
        <v>0</v>
      </c>
      <c r="CI216" s="15"/>
      <c r="CJ216" s="15">
        <f t="shared" si="1005"/>
        <v>0</v>
      </c>
      <c r="CM216" s="15">
        <f t="shared" si="1006"/>
        <v>0</v>
      </c>
      <c r="CP216" s="15">
        <f t="shared" si="1007"/>
        <v>0</v>
      </c>
      <c r="CS216" s="15">
        <f t="shared" si="1008"/>
        <v>0</v>
      </c>
      <c r="CV216" s="15">
        <f t="shared" si="1009"/>
        <v>0</v>
      </c>
      <c r="CY216" s="15">
        <f t="shared" si="1010"/>
        <v>0</v>
      </c>
      <c r="DE216" s="15"/>
      <c r="DF216" s="15">
        <f t="shared" si="1064"/>
        <v>0</v>
      </c>
      <c r="DH216" s="15"/>
      <c r="DI216" s="15">
        <f t="shared" si="1065"/>
        <v>0</v>
      </c>
      <c r="DK216" s="15"/>
      <c r="DL216" s="15">
        <f t="shared" si="1066"/>
        <v>0</v>
      </c>
      <c r="DN216" s="15"/>
      <c r="DO216" s="15">
        <f t="shared" si="1067"/>
        <v>0</v>
      </c>
      <c r="DQ216" s="15"/>
      <c r="DR216" s="15">
        <f t="shared" si="1068"/>
        <v>0</v>
      </c>
      <c r="DT216" s="15"/>
      <c r="DU216" s="15">
        <f t="shared" si="1069"/>
        <v>0</v>
      </c>
      <c r="DW216" s="15"/>
      <c r="DX216" s="15">
        <f t="shared" si="1070"/>
        <v>0</v>
      </c>
      <c r="DZ216" s="15"/>
      <c r="EA216" s="15">
        <f t="shared" si="1071"/>
        <v>0</v>
      </c>
      <c r="EC216" s="15"/>
      <c r="ED216" s="15">
        <f t="shared" si="1072"/>
        <v>0</v>
      </c>
      <c r="EF216" s="15"/>
      <c r="EG216" s="15">
        <f t="shared" si="1073"/>
        <v>0</v>
      </c>
      <c r="EK216" s="15"/>
      <c r="EM216" s="15"/>
      <c r="EN216" s="15">
        <f t="shared" si="1074"/>
        <v>0</v>
      </c>
      <c r="EP216" s="15"/>
      <c r="EQ216" s="15">
        <f t="shared" si="1075"/>
        <v>0</v>
      </c>
      <c r="ES216" s="15"/>
      <c r="ET216" s="15">
        <f t="shared" si="1076"/>
        <v>0</v>
      </c>
      <c r="EW216" s="15">
        <f t="shared" si="1077"/>
        <v>0</v>
      </c>
      <c r="EZ216" s="15">
        <f t="shared" si="1078"/>
        <v>0</v>
      </c>
      <c r="FC216" s="15">
        <f t="shared" si="1079"/>
        <v>0</v>
      </c>
      <c r="FF216" s="15">
        <f t="shared" si="1080"/>
        <v>0</v>
      </c>
      <c r="FI216" s="15">
        <f t="shared" si="1081"/>
        <v>0</v>
      </c>
      <c r="FL216" s="15">
        <f t="shared" si="1082"/>
        <v>0</v>
      </c>
      <c r="FO216" s="15">
        <f t="shared" si="1083"/>
        <v>0</v>
      </c>
      <c r="FR216" s="15">
        <v>0</v>
      </c>
      <c r="FW216" s="235" t="e">
        <f t="shared" si="989"/>
        <v>#DIV/0!</v>
      </c>
    </row>
    <row r="217" spans="1:179" outlineLevel="1">
      <c r="A217" s="1" t="s">
        <v>201</v>
      </c>
      <c r="B217" s="1" t="s">
        <v>611</v>
      </c>
      <c r="C217" s="4" t="s">
        <v>613</v>
      </c>
      <c r="D217" s="43"/>
      <c r="E217" s="34"/>
      <c r="F217" s="43"/>
      <c r="G217" s="34"/>
      <c r="H217" s="46"/>
      <c r="I217" s="36"/>
      <c r="J217" s="14"/>
      <c r="M217" s="17"/>
      <c r="N217" s="17"/>
      <c r="U217" s="16"/>
      <c r="Y217" s="118"/>
      <c r="AB217" s="185"/>
      <c r="AC217" s="187"/>
      <c r="AD217" s="187"/>
      <c r="AF217" s="182"/>
      <c r="AH217" s="15"/>
      <c r="AI217" s="17"/>
      <c r="AS217" s="15"/>
      <c r="AV217" s="15"/>
      <c r="AX217" s="15"/>
      <c r="AY217" s="15"/>
      <c r="BB217" s="15"/>
      <c r="BD217" s="15"/>
      <c r="BE217" s="15"/>
      <c r="BG217" s="15"/>
      <c r="BH217" s="15"/>
      <c r="BM217" s="15"/>
      <c r="BN217" s="235"/>
      <c r="BO217" s="235"/>
      <c r="BQ217" s="15"/>
      <c r="BR217" s="15"/>
      <c r="BT217" s="15"/>
      <c r="BU217" s="15"/>
      <c r="BW217" s="15"/>
      <c r="BX217" s="15"/>
      <c r="BZ217" s="15"/>
      <c r="CA217" s="15"/>
      <c r="CC217" s="15"/>
      <c r="CD217" s="15"/>
      <c r="CF217" s="15"/>
      <c r="CG217" s="15"/>
      <c r="CI217" s="15"/>
      <c r="CJ217" s="15"/>
      <c r="CM217" s="15"/>
      <c r="CP217" s="15"/>
      <c r="CS217" s="15"/>
      <c r="CV217" s="15"/>
      <c r="CY217" s="15"/>
      <c r="DE217" s="15"/>
      <c r="DF217" s="15"/>
      <c r="DH217" s="15"/>
      <c r="DI217" s="15"/>
      <c r="DK217" s="227">
        <v>249450</v>
      </c>
      <c r="DL217" s="15">
        <f t="shared" si="1066"/>
        <v>249450</v>
      </c>
      <c r="DN217" s="15"/>
      <c r="DO217" s="15">
        <f t="shared" si="1067"/>
        <v>249450</v>
      </c>
      <c r="DQ217" s="15"/>
      <c r="DR217" s="15">
        <f t="shared" si="1068"/>
        <v>249450</v>
      </c>
      <c r="DT217" s="15"/>
      <c r="DU217" s="15">
        <f t="shared" si="1069"/>
        <v>249450</v>
      </c>
      <c r="DW217" s="15"/>
      <c r="DX217" s="15">
        <f t="shared" si="1070"/>
        <v>249450</v>
      </c>
      <c r="DZ217" s="15"/>
      <c r="EA217" s="15">
        <f t="shared" si="1071"/>
        <v>249450</v>
      </c>
      <c r="EC217" s="15"/>
      <c r="ED217" s="15">
        <f t="shared" si="1072"/>
        <v>249450</v>
      </c>
      <c r="EF217" s="15"/>
      <c r="EG217" s="15">
        <f t="shared" si="1073"/>
        <v>249450</v>
      </c>
      <c r="EI217" s="15">
        <v>249450</v>
      </c>
      <c r="EK217" s="15">
        <v>0</v>
      </c>
      <c r="EM217" s="15"/>
      <c r="EN217" s="15">
        <f t="shared" si="1074"/>
        <v>0</v>
      </c>
      <c r="EP217" s="15"/>
      <c r="EQ217" s="15">
        <f t="shared" si="1075"/>
        <v>0</v>
      </c>
      <c r="ES217" s="15"/>
      <c r="ET217" s="15">
        <f t="shared" si="1076"/>
        <v>0</v>
      </c>
      <c r="EW217" s="15">
        <f t="shared" si="1077"/>
        <v>0</v>
      </c>
      <c r="EZ217" s="15">
        <f t="shared" si="1078"/>
        <v>0</v>
      </c>
      <c r="FC217" s="15">
        <f t="shared" si="1079"/>
        <v>0</v>
      </c>
      <c r="FF217" s="15">
        <f t="shared" si="1080"/>
        <v>0</v>
      </c>
      <c r="FI217" s="15">
        <f t="shared" si="1081"/>
        <v>0</v>
      </c>
      <c r="FL217" s="15">
        <f t="shared" si="1082"/>
        <v>0</v>
      </c>
      <c r="FO217" s="15">
        <f t="shared" si="1083"/>
        <v>0</v>
      </c>
      <c r="FR217" s="15">
        <v>0</v>
      </c>
      <c r="FW217" s="235" t="e">
        <f t="shared" si="989"/>
        <v>#DIV/0!</v>
      </c>
    </row>
    <row r="218" spans="1:179" outlineLevel="1">
      <c r="A218" s="1" t="s">
        <v>201</v>
      </c>
      <c r="B218" s="1" t="s">
        <v>208</v>
      </c>
      <c r="C218" s="4" t="s">
        <v>209</v>
      </c>
      <c r="D218" s="43">
        <v>0</v>
      </c>
      <c r="E218" s="34">
        <v>0</v>
      </c>
      <c r="F218" s="43">
        <v>270400</v>
      </c>
      <c r="G218" s="34">
        <v>100</v>
      </c>
      <c r="H218" s="46">
        <v>270398.71000000002</v>
      </c>
      <c r="I218" s="36">
        <f>H218</f>
        <v>270398.71000000002</v>
      </c>
      <c r="J218" s="14"/>
      <c r="L218" s="118">
        <f>'[1]2020'!$Q$20</f>
        <v>10000</v>
      </c>
      <c r="M218" s="17">
        <f t="shared" si="891"/>
        <v>-0.96301775147928992</v>
      </c>
      <c r="N218" s="17">
        <f t="shared" si="892"/>
        <v>-0.96301757504686325</v>
      </c>
      <c r="Q218" s="118">
        <v>10000</v>
      </c>
      <c r="R218" s="15">
        <v>0</v>
      </c>
      <c r="S218" s="118">
        <v>0</v>
      </c>
      <c r="T218" s="15">
        <f t="shared" si="990"/>
        <v>-10000</v>
      </c>
      <c r="U218" s="16">
        <f t="shared" si="934"/>
        <v>-1</v>
      </c>
      <c r="Y218" s="118">
        <v>0</v>
      </c>
      <c r="AA218" s="118">
        <v>0</v>
      </c>
      <c r="AB218" s="185">
        <f t="shared" si="991"/>
        <v>0</v>
      </c>
      <c r="AC218" s="187">
        <f>AA218-Y218</f>
        <v>0</v>
      </c>
      <c r="AD218" s="187"/>
      <c r="AE218" s="118">
        <v>0</v>
      </c>
      <c r="AF218" s="182"/>
      <c r="AH218" s="15">
        <v>0</v>
      </c>
      <c r="AK218" s="118">
        <v>0</v>
      </c>
      <c r="AS218" s="15">
        <f t="shared" si="1058"/>
        <v>0</v>
      </c>
      <c r="AV218" s="15">
        <f t="shared" si="1059"/>
        <v>0</v>
      </c>
      <c r="AX218" s="15"/>
      <c r="AY218" s="15">
        <f t="shared" si="1060"/>
        <v>0</v>
      </c>
      <c r="BB218" s="15">
        <f t="shared" si="1061"/>
        <v>0</v>
      </c>
      <c r="BD218" s="15"/>
      <c r="BE218" s="15">
        <f t="shared" si="1062"/>
        <v>0</v>
      </c>
      <c r="BG218" s="15"/>
      <c r="BH218" s="15">
        <f t="shared" si="1063"/>
        <v>0</v>
      </c>
      <c r="BJ218" s="15">
        <v>0</v>
      </c>
      <c r="BM218" s="15">
        <v>0</v>
      </c>
      <c r="BN218" s="235" t="e">
        <f t="shared" si="967"/>
        <v>#DIV/0!</v>
      </c>
      <c r="BO218" s="235" t="e">
        <f t="shared" si="968"/>
        <v>#DIV/0!</v>
      </c>
      <c r="BQ218" s="15"/>
      <c r="BR218" s="15">
        <f t="shared" si="999"/>
        <v>0</v>
      </c>
      <c r="BT218" s="15"/>
      <c r="BU218" s="15">
        <f t="shared" si="1000"/>
        <v>0</v>
      </c>
      <c r="BW218" s="15"/>
      <c r="BX218" s="15">
        <f t="shared" si="1001"/>
        <v>0</v>
      </c>
      <c r="BZ218" s="15"/>
      <c r="CA218" s="15">
        <f t="shared" si="1002"/>
        <v>0</v>
      </c>
      <c r="CC218" s="15"/>
      <c r="CD218" s="15">
        <f t="shared" si="1003"/>
        <v>0</v>
      </c>
      <c r="CF218" s="15"/>
      <c r="CG218" s="15">
        <f t="shared" si="1004"/>
        <v>0</v>
      </c>
      <c r="CI218" s="15"/>
      <c r="CJ218" s="15">
        <f t="shared" si="1005"/>
        <v>0</v>
      </c>
      <c r="CM218" s="15">
        <f t="shared" si="1006"/>
        <v>0</v>
      </c>
      <c r="CP218" s="15">
        <f t="shared" si="1007"/>
        <v>0</v>
      </c>
      <c r="CS218" s="15">
        <f t="shared" si="1008"/>
        <v>0</v>
      </c>
      <c r="CV218" s="15">
        <f t="shared" si="1009"/>
        <v>0</v>
      </c>
      <c r="CY218" s="15">
        <f t="shared" si="1010"/>
        <v>0</v>
      </c>
      <c r="DE218" s="15"/>
      <c r="DF218" s="15">
        <f t="shared" si="1064"/>
        <v>0</v>
      </c>
      <c r="DH218" s="15"/>
      <c r="DI218" s="15">
        <f t="shared" si="1065"/>
        <v>0</v>
      </c>
      <c r="DK218" s="15"/>
      <c r="DL218" s="15">
        <f t="shared" si="1066"/>
        <v>0</v>
      </c>
      <c r="DN218" s="15"/>
      <c r="DO218" s="15">
        <f t="shared" si="1067"/>
        <v>0</v>
      </c>
      <c r="DQ218" s="15"/>
      <c r="DR218" s="15">
        <f t="shared" si="1068"/>
        <v>0</v>
      </c>
      <c r="DT218" s="15"/>
      <c r="DU218" s="15">
        <f t="shared" si="1069"/>
        <v>0</v>
      </c>
      <c r="DW218" s="15"/>
      <c r="DX218" s="15">
        <f t="shared" si="1070"/>
        <v>0</v>
      </c>
      <c r="DZ218" s="15"/>
      <c r="EA218" s="15">
        <f t="shared" si="1071"/>
        <v>0</v>
      </c>
      <c r="EC218" s="15"/>
      <c r="ED218" s="15">
        <f t="shared" si="1072"/>
        <v>0</v>
      </c>
      <c r="EF218" s="15"/>
      <c r="EG218" s="15">
        <f t="shared" si="1073"/>
        <v>0</v>
      </c>
      <c r="EK218" s="15"/>
      <c r="EM218" s="15"/>
      <c r="EN218" s="15">
        <f t="shared" si="1074"/>
        <v>0</v>
      </c>
      <c r="EP218" s="15"/>
      <c r="EQ218" s="15">
        <f t="shared" si="1075"/>
        <v>0</v>
      </c>
      <c r="ES218" s="15"/>
      <c r="ET218" s="15">
        <f t="shared" si="1076"/>
        <v>0</v>
      </c>
      <c r="EW218" s="15">
        <f t="shared" si="1077"/>
        <v>0</v>
      </c>
      <c r="EZ218" s="15">
        <f t="shared" si="1078"/>
        <v>0</v>
      </c>
      <c r="FC218" s="15">
        <f t="shared" si="1079"/>
        <v>0</v>
      </c>
      <c r="FF218" s="15">
        <f t="shared" si="1080"/>
        <v>0</v>
      </c>
      <c r="FI218" s="15">
        <f t="shared" si="1081"/>
        <v>0</v>
      </c>
      <c r="FL218" s="15">
        <f t="shared" si="1082"/>
        <v>0</v>
      </c>
      <c r="FO218" s="15">
        <f t="shared" si="1083"/>
        <v>0</v>
      </c>
      <c r="FR218" s="15">
        <v>0</v>
      </c>
      <c r="FW218" s="235" t="e">
        <f t="shared" si="989"/>
        <v>#DIV/0!</v>
      </c>
    </row>
    <row r="219" spans="1:179" outlineLevel="1">
      <c r="A219" s="1" t="s">
        <v>201</v>
      </c>
      <c r="B219" s="1" t="s">
        <v>199</v>
      </c>
      <c r="C219" s="4" t="s">
        <v>200</v>
      </c>
      <c r="D219" s="43"/>
      <c r="E219" s="34"/>
      <c r="F219" s="43"/>
      <c r="G219" s="34"/>
      <c r="H219" s="46"/>
      <c r="I219" s="36"/>
      <c r="J219" s="14"/>
      <c r="M219" s="17"/>
      <c r="N219" s="17"/>
      <c r="U219" s="16"/>
      <c r="Y219" s="118"/>
      <c r="AB219" s="185"/>
      <c r="AC219" s="187"/>
      <c r="AD219" s="187"/>
      <c r="AF219" s="182"/>
      <c r="AH219" s="15"/>
      <c r="AS219" s="15"/>
      <c r="AV219" s="15"/>
      <c r="AX219" s="15"/>
      <c r="AY219" s="15"/>
      <c r="BB219" s="15"/>
      <c r="BD219" s="15"/>
      <c r="BE219" s="15"/>
      <c r="BG219" s="15"/>
      <c r="BH219" s="15"/>
      <c r="BM219" s="15"/>
      <c r="BN219" s="235"/>
      <c r="BO219" s="235"/>
      <c r="BQ219" s="15"/>
      <c r="BR219" s="15"/>
      <c r="BT219" s="15"/>
      <c r="BU219" s="15"/>
      <c r="BW219" s="15"/>
      <c r="BX219" s="15"/>
      <c r="BZ219" s="15"/>
      <c r="CA219" s="15"/>
      <c r="CC219" s="15"/>
      <c r="CD219" s="15"/>
      <c r="CF219" s="15"/>
      <c r="CG219" s="15"/>
      <c r="CI219" s="15"/>
      <c r="CJ219" s="15"/>
      <c r="CM219" s="15"/>
      <c r="CP219" s="15"/>
      <c r="CS219" s="15"/>
      <c r="CV219" s="15"/>
      <c r="CY219" s="15"/>
      <c r="DE219" s="15"/>
      <c r="DF219" s="15"/>
      <c r="DH219" s="15"/>
      <c r="DI219" s="15"/>
      <c r="DK219" s="15"/>
      <c r="DL219" s="15"/>
      <c r="DN219" s="15"/>
      <c r="DO219" s="15"/>
      <c r="DQ219" s="15"/>
      <c r="DR219" s="15"/>
      <c r="DT219" s="15"/>
      <c r="DU219" s="15"/>
      <c r="DW219" s="15"/>
      <c r="DX219" s="15"/>
      <c r="DZ219" s="15"/>
      <c r="EA219" s="15"/>
      <c r="EC219" s="15"/>
      <c r="ED219" s="15"/>
      <c r="EF219" s="15"/>
      <c r="EG219" s="15"/>
      <c r="EK219" s="15"/>
      <c r="EM219" s="15"/>
      <c r="EN219" s="15"/>
      <c r="EP219" s="15"/>
      <c r="EQ219" s="15"/>
      <c r="ES219" s="15"/>
      <c r="ET219" s="15"/>
      <c r="EW219" s="15"/>
      <c r="EZ219" s="15"/>
      <c r="FC219" s="15"/>
      <c r="FF219" s="15"/>
      <c r="FI219" s="15"/>
      <c r="FL219" s="15"/>
      <c r="FO219" s="15"/>
      <c r="FR219" s="15"/>
      <c r="FV219" s="227">
        <v>50000</v>
      </c>
      <c r="FW219" s="235"/>
    </row>
    <row r="220" spans="1:179" outlineLevel="1">
      <c r="A220" s="1" t="s">
        <v>201</v>
      </c>
      <c r="B220" s="1" t="s">
        <v>210</v>
      </c>
      <c r="C220" s="4" t="s">
        <v>211</v>
      </c>
      <c r="D220" s="43">
        <v>900000</v>
      </c>
      <c r="E220" s="34">
        <v>0</v>
      </c>
      <c r="F220" s="43">
        <v>0</v>
      </c>
      <c r="G220" s="34">
        <v>0</v>
      </c>
      <c r="H220" s="46">
        <v>0</v>
      </c>
      <c r="I220" s="36">
        <f>H220</f>
        <v>0</v>
      </c>
      <c r="J220" s="14"/>
      <c r="L220" s="118">
        <v>650000</v>
      </c>
      <c r="M220" s="17" t="e">
        <f t="shared" si="891"/>
        <v>#DIV/0!</v>
      </c>
      <c r="N220" s="17" t="e">
        <f t="shared" si="892"/>
        <v>#DIV/0!</v>
      </c>
      <c r="Q220" s="118">
        <v>1006000</v>
      </c>
      <c r="R220" s="15">
        <v>0</v>
      </c>
      <c r="S220" s="118">
        <v>906000</v>
      </c>
      <c r="T220" s="15">
        <f t="shared" si="990"/>
        <v>-100000</v>
      </c>
      <c r="U220" s="16">
        <f t="shared" si="934"/>
        <v>-9.9403578528827086E-2</v>
      </c>
      <c r="Y220" s="118">
        <v>906000</v>
      </c>
      <c r="AA220" s="118">
        <v>905010</v>
      </c>
      <c r="AB220" s="185">
        <f t="shared" si="991"/>
        <v>-990</v>
      </c>
      <c r="AC220" s="187">
        <f>AA220-Y220</f>
        <v>-990</v>
      </c>
      <c r="AD220" s="187"/>
      <c r="AE220" s="118">
        <v>905010</v>
      </c>
      <c r="AF220" s="182"/>
      <c r="AH220" s="15">
        <v>905007.4</v>
      </c>
      <c r="AI220" s="17">
        <f t="shared" ref="AI220" si="1084">AH220/AE220</f>
        <v>0.99999712710356792</v>
      </c>
      <c r="AK220" s="118">
        <v>0</v>
      </c>
      <c r="AS220" s="15">
        <f t="shared" si="1058"/>
        <v>0</v>
      </c>
      <c r="AV220" s="15">
        <f t="shared" si="1059"/>
        <v>0</v>
      </c>
      <c r="AX220" s="15"/>
      <c r="AY220" s="15">
        <f t="shared" si="1060"/>
        <v>0</v>
      </c>
      <c r="BB220" s="15">
        <f t="shared" si="1061"/>
        <v>0</v>
      </c>
      <c r="BD220" s="15"/>
      <c r="BE220" s="15">
        <f t="shared" si="1062"/>
        <v>0</v>
      </c>
      <c r="BG220" s="15"/>
      <c r="BH220" s="15">
        <f t="shared" si="1063"/>
        <v>0</v>
      </c>
      <c r="BJ220" s="15">
        <v>0</v>
      </c>
      <c r="BM220" s="15">
        <v>0</v>
      </c>
      <c r="BN220" s="235" t="e">
        <f t="shared" si="967"/>
        <v>#DIV/0!</v>
      </c>
      <c r="BO220" s="235" t="e">
        <f t="shared" si="968"/>
        <v>#DIV/0!</v>
      </c>
      <c r="BQ220" s="15"/>
      <c r="BR220" s="15">
        <f t="shared" si="999"/>
        <v>0</v>
      </c>
      <c r="BT220" s="15"/>
      <c r="BU220" s="15">
        <f t="shared" si="1000"/>
        <v>0</v>
      </c>
      <c r="BW220" s="15"/>
      <c r="BX220" s="15">
        <f t="shared" si="1001"/>
        <v>0</v>
      </c>
      <c r="BZ220" s="15"/>
      <c r="CA220" s="15">
        <f t="shared" si="1002"/>
        <v>0</v>
      </c>
      <c r="CC220" s="15"/>
      <c r="CD220" s="15">
        <f t="shared" si="1003"/>
        <v>0</v>
      </c>
      <c r="CF220" s="15"/>
      <c r="CG220" s="15">
        <f t="shared" si="1004"/>
        <v>0</v>
      </c>
      <c r="CI220" s="15"/>
      <c r="CJ220" s="15">
        <f t="shared" si="1005"/>
        <v>0</v>
      </c>
      <c r="CM220" s="15">
        <f t="shared" si="1006"/>
        <v>0</v>
      </c>
      <c r="CP220" s="15">
        <f t="shared" si="1007"/>
        <v>0</v>
      </c>
      <c r="CS220" s="15">
        <f t="shared" si="1008"/>
        <v>0</v>
      </c>
      <c r="CV220" s="15">
        <f t="shared" si="1009"/>
        <v>0</v>
      </c>
      <c r="CY220" s="15">
        <f t="shared" si="1010"/>
        <v>0</v>
      </c>
      <c r="DE220" s="15"/>
      <c r="DF220" s="15">
        <f t="shared" si="1064"/>
        <v>0</v>
      </c>
      <c r="DH220" s="15"/>
      <c r="DI220" s="15">
        <f t="shared" si="1065"/>
        <v>0</v>
      </c>
      <c r="DK220" s="15"/>
      <c r="DL220" s="15">
        <f t="shared" si="1066"/>
        <v>0</v>
      </c>
      <c r="DN220" s="15"/>
      <c r="DO220" s="15">
        <f t="shared" si="1067"/>
        <v>0</v>
      </c>
      <c r="DQ220" s="15"/>
      <c r="DR220" s="15">
        <f t="shared" si="1068"/>
        <v>0</v>
      </c>
      <c r="DT220" s="15"/>
      <c r="DU220" s="15">
        <f t="shared" si="1069"/>
        <v>0</v>
      </c>
      <c r="DW220" s="15"/>
      <c r="DX220" s="15">
        <f t="shared" si="1070"/>
        <v>0</v>
      </c>
      <c r="DZ220" s="15"/>
      <c r="EA220" s="15">
        <f t="shared" si="1071"/>
        <v>0</v>
      </c>
      <c r="EC220" s="15"/>
      <c r="ED220" s="15">
        <f t="shared" si="1072"/>
        <v>0</v>
      </c>
      <c r="EF220" s="15"/>
      <c r="EG220" s="15">
        <f t="shared" si="1073"/>
        <v>0</v>
      </c>
      <c r="EK220" s="15"/>
      <c r="EM220" s="15"/>
      <c r="EN220" s="15">
        <f t="shared" si="1074"/>
        <v>0</v>
      </c>
      <c r="EP220" s="15"/>
      <c r="EQ220" s="15">
        <f t="shared" si="1075"/>
        <v>0</v>
      </c>
      <c r="ES220" s="15"/>
      <c r="ET220" s="15">
        <f t="shared" si="1076"/>
        <v>0</v>
      </c>
      <c r="EW220" s="15">
        <f t="shared" si="1077"/>
        <v>0</v>
      </c>
      <c r="EZ220" s="15">
        <f t="shared" si="1078"/>
        <v>0</v>
      </c>
      <c r="FC220" s="15">
        <f t="shared" si="1079"/>
        <v>0</v>
      </c>
      <c r="FF220" s="15">
        <f t="shared" si="1080"/>
        <v>0</v>
      </c>
      <c r="FI220" s="15">
        <f t="shared" si="1081"/>
        <v>0</v>
      </c>
      <c r="FL220" s="15">
        <f t="shared" si="1082"/>
        <v>0</v>
      </c>
      <c r="FO220" s="15">
        <f t="shared" si="1083"/>
        <v>0</v>
      </c>
      <c r="FR220" s="15">
        <v>0</v>
      </c>
      <c r="FW220" s="235" t="e">
        <f t="shared" si="989"/>
        <v>#DIV/0!</v>
      </c>
    </row>
    <row r="221" spans="1:179" outlineLevel="1">
      <c r="A221" s="1" t="s">
        <v>201</v>
      </c>
      <c r="B221" s="4" t="s">
        <v>46</v>
      </c>
      <c r="C221" s="4" t="s">
        <v>212</v>
      </c>
      <c r="D221" s="43">
        <v>1197000</v>
      </c>
      <c r="E221" s="34">
        <v>30.6</v>
      </c>
      <c r="F221" s="43">
        <v>462000</v>
      </c>
      <c r="G221" s="34">
        <v>79.290000000000006</v>
      </c>
      <c r="H221" s="46">
        <v>366300.21</v>
      </c>
      <c r="I221" s="36"/>
      <c r="J221" s="14"/>
      <c r="Y221" s="118"/>
      <c r="AF221" s="182"/>
      <c r="AH221" s="15"/>
      <c r="AX221" s="15"/>
      <c r="BD221" s="15"/>
      <c r="BG221" s="15"/>
      <c r="DE221" s="15"/>
      <c r="DH221" s="15"/>
      <c r="DK221" s="15"/>
      <c r="DN221" s="15"/>
      <c r="DQ221" s="15"/>
      <c r="DT221" s="15"/>
      <c r="DW221" s="15"/>
      <c r="DZ221" s="15"/>
      <c r="EC221" s="15"/>
      <c r="EF221" s="15"/>
      <c r="EK221" s="15"/>
      <c r="EM221" s="15"/>
      <c r="EP221" s="15"/>
      <c r="ES221" s="15"/>
      <c r="FW221" s="235" t="e">
        <f t="shared" si="989"/>
        <v>#DIV/0!</v>
      </c>
    </row>
    <row r="222" spans="1:179" outlineLevel="1">
      <c r="A222" s="1" t="s">
        <v>213</v>
      </c>
      <c r="B222" s="4" t="s">
        <v>48</v>
      </c>
      <c r="C222" s="4" t="s">
        <v>214</v>
      </c>
      <c r="D222" s="43">
        <v>1197000</v>
      </c>
      <c r="E222" s="34">
        <v>30.6</v>
      </c>
      <c r="F222" s="43">
        <v>462000</v>
      </c>
      <c r="G222" s="34">
        <v>79.290000000000006</v>
      </c>
      <c r="H222" s="46">
        <v>366300.21</v>
      </c>
      <c r="I222" s="36"/>
      <c r="J222" s="14"/>
      <c r="Y222" s="118"/>
      <c r="AF222" s="182"/>
      <c r="AH222" s="15"/>
      <c r="AX222" s="15"/>
      <c r="BD222" s="15"/>
      <c r="BG222" s="15"/>
      <c r="DE222" s="15"/>
      <c r="DH222" s="15"/>
      <c r="DK222" s="15"/>
      <c r="DN222" s="15"/>
      <c r="DQ222" s="15"/>
      <c r="DT222" s="15"/>
      <c r="DW222" s="15"/>
      <c r="DZ222" s="15"/>
      <c r="EC222" s="15"/>
      <c r="EF222" s="15"/>
      <c r="EK222" s="15"/>
      <c r="EM222" s="15"/>
      <c r="EP222" s="15"/>
      <c r="ES222" s="15"/>
      <c r="FW222" s="235" t="e">
        <f t="shared" si="989"/>
        <v>#DIV/0!</v>
      </c>
    </row>
    <row r="223" spans="1:179" ht="16.5" customHeight="1" thickBot="1">
      <c r="A223" s="54" t="s">
        <v>201</v>
      </c>
      <c r="B223" s="55" t="s">
        <v>316</v>
      </c>
      <c r="C223" s="283" t="s">
        <v>212</v>
      </c>
      <c r="D223" s="57">
        <f>SUM(D200:D215)</f>
        <v>297000</v>
      </c>
      <c r="E223" s="58"/>
      <c r="F223" s="57">
        <f>SUM(F200:F215)</f>
        <v>191600</v>
      </c>
      <c r="G223" s="58"/>
      <c r="H223" s="57"/>
      <c r="I223" s="57">
        <f>SUM(I200:I215)</f>
        <v>102486.5</v>
      </c>
      <c r="J223" s="138" t="e">
        <f>I223/$I$332</f>
        <v>#REF!</v>
      </c>
      <c r="K223" s="60"/>
      <c r="L223" s="122">
        <f>SUM(L200:L215)</f>
        <v>99500</v>
      </c>
      <c r="M223" s="61">
        <f t="shared" ref="M223:M228" si="1085">L223/F223-1</f>
        <v>-0.4806889352818372</v>
      </c>
      <c r="N223" s="61">
        <f t="shared" ref="N223:N228" si="1086">L223/I223-1</f>
        <v>-2.9140423372834512E-2</v>
      </c>
      <c r="O223" s="17">
        <f>L223/$L$332</f>
        <v>2.3085847296257025E-2</v>
      </c>
      <c r="P223" s="17"/>
      <c r="Q223" s="122">
        <f>SUM(Q200:Q215)</f>
        <v>110000</v>
      </c>
      <c r="R223" s="122">
        <f>SUM(R200:R215)</f>
        <v>41341</v>
      </c>
      <c r="S223" s="122">
        <f>SUM(S200:S215)</f>
        <v>87200</v>
      </c>
      <c r="T223" s="122">
        <f>SUM(T200:T215)</f>
        <v>-22800</v>
      </c>
      <c r="U223" s="155">
        <f t="shared" ref="U223:U228" si="1087">S223/Q223-1</f>
        <v>-0.20727272727272728</v>
      </c>
      <c r="Y223" s="122">
        <f>SUM(Y200:Y215)</f>
        <v>99000</v>
      </c>
      <c r="AA223" s="122">
        <f>SUM(AA200:AA216)</f>
        <v>83050</v>
      </c>
      <c r="AB223" s="122">
        <f>SUM(AB200:AB216)</f>
        <v>-15950</v>
      </c>
      <c r="AE223" s="122">
        <f>SUM(AE200:AE216)</f>
        <v>84050</v>
      </c>
      <c r="AF223" s="182"/>
      <c r="AH223" s="122">
        <f>SUM(AH200:AH216)</f>
        <v>77440.709999999992</v>
      </c>
      <c r="AI223" s="17">
        <f t="shared" ref="AI223:AI228" si="1088">AH223/AE223</f>
        <v>0.9213647828673408</v>
      </c>
      <c r="AK223" s="122">
        <f>SUM(AK200:AK216)</f>
        <v>62300</v>
      </c>
      <c r="AL223" s="193">
        <f t="shared" ref="AL223:AL225" si="1089">AK223/L223</f>
        <v>0.62613065326633166</v>
      </c>
      <c r="AM223" s="17">
        <f t="shared" ref="AM223:AM225" si="1090">AK223/AE223</f>
        <v>0.74122546103509812</v>
      </c>
      <c r="AN223" s="17">
        <f t="shared" ref="AN223:AN225" si="1091">AK223/AH223</f>
        <v>0.80448642580885432</v>
      </c>
      <c r="AS223" s="122">
        <f>SUM(AS200:AS216)</f>
        <v>62300</v>
      </c>
      <c r="AU223" s="122">
        <f>SUM(AU200:AU216)</f>
        <v>0</v>
      </c>
      <c r="AV223" s="122">
        <f>SUM(AV200:AV216)</f>
        <v>62300</v>
      </c>
      <c r="AX223" s="122">
        <f>SUM(AX200:AX216)</f>
        <v>0</v>
      </c>
      <c r="AY223" s="122">
        <f>SUM(AY200:AY216)</f>
        <v>62300</v>
      </c>
      <c r="BA223" s="122">
        <f>SUM(BA200:BA216)</f>
        <v>0</v>
      </c>
      <c r="BB223" s="122">
        <f>SUM(BB200:BB216)</f>
        <v>62300</v>
      </c>
      <c r="BD223" s="122">
        <f>SUM(BD200:BD216)</f>
        <v>0</v>
      </c>
      <c r="BE223" s="122">
        <f>SUM(BE200:BE216)</f>
        <v>62300</v>
      </c>
      <c r="BG223" s="122">
        <f>SUM(BG200:BG216)</f>
        <v>-1100</v>
      </c>
      <c r="BH223" s="122">
        <f>SUM(BH200:BH216)</f>
        <v>61200</v>
      </c>
      <c r="BJ223" s="122">
        <f>SUM(BJ200:BJ216)</f>
        <v>41369.660000000003</v>
      </c>
      <c r="BK223" s="236">
        <f t="shared" ref="BK223" si="1092">BJ223/BH223</f>
        <v>0.67597483660130719</v>
      </c>
      <c r="BM223" s="122">
        <f>SUM(BM200:BM216)</f>
        <v>95100</v>
      </c>
      <c r="BN223" s="236">
        <f t="shared" ref="BN223:BN225" si="1093">BM223/BJ223</f>
        <v>2.2987861152351745</v>
      </c>
      <c r="BO223" s="236">
        <f t="shared" ref="BO223:BO225" si="1094">BM223/BH223</f>
        <v>1.553921568627451</v>
      </c>
      <c r="BQ223" s="122">
        <f>SUM(BQ200:BQ216)</f>
        <v>-1000</v>
      </c>
      <c r="BR223" s="122">
        <f>SUM(BR200:BR216)</f>
        <v>94100</v>
      </c>
      <c r="BT223" s="122">
        <f>SUM(BT200:BT216)</f>
        <v>0</v>
      </c>
      <c r="BU223" s="122">
        <f>SUM(BU200:BU216)</f>
        <v>94100</v>
      </c>
      <c r="BW223" s="122">
        <f>SUM(BW200:BW216)</f>
        <v>12000</v>
      </c>
      <c r="BX223" s="122">
        <f>SUM(BX200:BX216)</f>
        <v>106100</v>
      </c>
      <c r="BZ223" s="122">
        <f>SUM(BZ200:BZ216)</f>
        <v>0</v>
      </c>
      <c r="CA223" s="122">
        <f>SUM(CA200:CA216)</f>
        <v>106100</v>
      </c>
      <c r="CC223" s="122">
        <f>SUM(CC200:CC216)</f>
        <v>0</v>
      </c>
      <c r="CD223" s="122">
        <f>SUM(CD200:CD216)</f>
        <v>106100</v>
      </c>
      <c r="CF223" s="122">
        <f>SUM(CF200:CF216)</f>
        <v>0</v>
      </c>
      <c r="CG223" s="122">
        <f>SUM(CG200:CG216)</f>
        <v>106100</v>
      </c>
      <c r="CI223" s="122">
        <f>SUM(CI200:CI216)</f>
        <v>7000</v>
      </c>
      <c r="CJ223" s="122">
        <f>SUM(CJ200:CJ216)</f>
        <v>113100</v>
      </c>
      <c r="CL223" s="319">
        <f>SUM(CL200:CL216)</f>
        <v>9000</v>
      </c>
      <c r="CM223" s="122">
        <f>SUM(CM200:CM216)</f>
        <v>122100</v>
      </c>
      <c r="CO223" s="122">
        <f>SUM(CO200:CO216)</f>
        <v>5000</v>
      </c>
      <c r="CP223" s="122">
        <f>SUM(CP200:CP216)</f>
        <v>127100</v>
      </c>
      <c r="CR223" s="122">
        <f>SUM(CR200:CR216)</f>
        <v>0</v>
      </c>
      <c r="CS223" s="122">
        <f>SUM(CS200:CS216)</f>
        <v>127100</v>
      </c>
      <c r="CU223" s="122">
        <f>SUM(CU200:CU216)</f>
        <v>-14200</v>
      </c>
      <c r="CV223" s="122">
        <f>SUM(CV200:CV216)</f>
        <v>112900</v>
      </c>
      <c r="CX223" s="122">
        <f>SUM(CX200:CX216)</f>
        <v>0</v>
      </c>
      <c r="CY223" s="122">
        <f>SUM(CY200:CY216)</f>
        <v>112900</v>
      </c>
      <c r="DA223" s="122">
        <f>SUM(DA200:DA216)</f>
        <v>110502.91</v>
      </c>
      <c r="DC223" s="122">
        <f>SUM(DC200:DC216)</f>
        <v>195500</v>
      </c>
      <c r="DE223" s="122">
        <f>SUM(DE200:DE216)</f>
        <v>0</v>
      </c>
      <c r="DF223" s="122">
        <f>SUM(DF200:DF216)</f>
        <v>195500</v>
      </c>
      <c r="DH223" s="122">
        <f>SUM(DH200:DH216)</f>
        <v>0</v>
      </c>
      <c r="DI223" s="122">
        <f>SUM(DI200:DI216)</f>
        <v>195500</v>
      </c>
      <c r="DK223" s="122">
        <f>SUM(DK200:DK217)</f>
        <v>249450</v>
      </c>
      <c r="DL223" s="122">
        <f>SUM(DL200:DL217)</f>
        <v>444950</v>
      </c>
      <c r="DN223" s="122">
        <f>SUM(DN200:DN217)</f>
        <v>0</v>
      </c>
      <c r="DO223" s="122">
        <f>SUM(DO200:DO217)</f>
        <v>444950</v>
      </c>
      <c r="DQ223" s="122">
        <f>SUM(DQ200:DQ217)</f>
        <v>71000</v>
      </c>
      <c r="DR223" s="122">
        <f>SUM(DR200:DR217)</f>
        <v>515950</v>
      </c>
      <c r="DT223" s="122">
        <f>SUM(DT200:DT217)</f>
        <v>5000</v>
      </c>
      <c r="DU223" s="122">
        <f>SUM(DU200:DU217)</f>
        <v>520950</v>
      </c>
      <c r="DW223" s="122">
        <f>SUM(DW200:DW217)</f>
        <v>4000</v>
      </c>
      <c r="DX223" s="122">
        <f>SUM(DX200:DX217)</f>
        <v>524950</v>
      </c>
      <c r="DZ223" s="122">
        <f>SUM(DZ200:DZ217)</f>
        <v>7250</v>
      </c>
      <c r="EA223" s="122">
        <f>SUM(EA200:EA217)</f>
        <v>532200</v>
      </c>
      <c r="EC223" s="122">
        <f>SUM(EC200:EC217)</f>
        <v>2300</v>
      </c>
      <c r="ED223" s="122">
        <f>SUM(ED200:ED217)</f>
        <v>534500</v>
      </c>
      <c r="EF223" s="122">
        <f>SUM(EF200:EF217)</f>
        <v>-26650</v>
      </c>
      <c r="EG223" s="122">
        <f>SUM(EG200:EG217)</f>
        <v>507850</v>
      </c>
      <c r="EI223" s="122">
        <f>SUM(EI200:EI217)</f>
        <v>505168.13</v>
      </c>
      <c r="EK223" s="122">
        <f>SUM(EK200:EK217)</f>
        <v>106700</v>
      </c>
      <c r="EL223" s="377">
        <f>EK223/EI223-1</f>
        <v>-0.78878319184545553</v>
      </c>
      <c r="EM223" s="122">
        <f>SUM(EM200:EM217)</f>
        <v>0</v>
      </c>
      <c r="EN223" s="122">
        <f>SUM(EN200:EN217)</f>
        <v>106700</v>
      </c>
      <c r="EP223" s="122">
        <f>SUM(EP200:EP217)</f>
        <v>0</v>
      </c>
      <c r="EQ223" s="122">
        <f>SUM(EQ200:EQ217)</f>
        <v>106700</v>
      </c>
      <c r="ES223" s="122">
        <f>SUM(ES200:ES217)</f>
        <v>-800</v>
      </c>
      <c r="ET223" s="122">
        <f>SUM(ET200:ET217)</f>
        <v>105900</v>
      </c>
      <c r="EV223" s="122">
        <f>SUM(EV200:EV217)</f>
        <v>-23200</v>
      </c>
      <c r="EW223" s="122">
        <f>SUM(EW200:EW217)</f>
        <v>82700</v>
      </c>
      <c r="EY223" s="122">
        <f>SUM(EY200:EY217)</f>
        <v>1000</v>
      </c>
      <c r="EZ223" s="122">
        <f>SUM(EZ200:EZ217)</f>
        <v>83700</v>
      </c>
      <c r="FB223" s="122">
        <f>SUM(FB200:FB217)</f>
        <v>-10000</v>
      </c>
      <c r="FC223" s="122">
        <f>SUM(FC200:FC217)</f>
        <v>73700</v>
      </c>
      <c r="FE223" s="122">
        <f>SUM(FE200:FE217)</f>
        <v>0</v>
      </c>
      <c r="FF223" s="122">
        <f>SUM(FF200:FF217)</f>
        <v>73700</v>
      </c>
      <c r="FH223" s="122">
        <f>SUM(FH200:FH217)</f>
        <v>14700</v>
      </c>
      <c r="FI223" s="122">
        <f>SUM(FI200:FI217)</f>
        <v>88400</v>
      </c>
      <c r="FK223" s="122">
        <f>SUM(FK200:FK217)</f>
        <v>14000</v>
      </c>
      <c r="FL223" s="122">
        <f>SUM(FL200:FL217)</f>
        <v>102400</v>
      </c>
      <c r="FN223" s="122">
        <f>SUM(FN200:FN217)</f>
        <v>0</v>
      </c>
      <c r="FO223" s="122">
        <f>SUM(FO200:FO217)</f>
        <v>102400</v>
      </c>
      <c r="FQ223" s="122">
        <v>260</v>
      </c>
      <c r="FR223" s="122">
        <v>102660</v>
      </c>
      <c r="FT223" s="122">
        <f>SUM(FT200:FT217)</f>
        <v>76830</v>
      </c>
      <c r="FV223" s="122">
        <f>SUM(FV200:FV217)</f>
        <v>118000</v>
      </c>
      <c r="FW223" s="235">
        <f t="shared" si="989"/>
        <v>1.5358583886502668</v>
      </c>
    </row>
    <row r="224" spans="1:179" ht="16.5" customHeight="1" thickTop="1" thickBot="1">
      <c r="A224" s="64" t="s">
        <v>201</v>
      </c>
      <c r="B224" s="65" t="s">
        <v>357</v>
      </c>
      <c r="C224" s="284" t="s">
        <v>345</v>
      </c>
      <c r="D224" s="66">
        <f>D211</f>
        <v>160000</v>
      </c>
      <c r="E224" s="67"/>
      <c r="F224" s="66">
        <f>F211</f>
        <v>40000</v>
      </c>
      <c r="G224" s="67"/>
      <c r="H224" s="66"/>
      <c r="I224" s="66">
        <f>I211</f>
        <v>28599</v>
      </c>
      <c r="J224" s="68"/>
      <c r="K224" s="69"/>
      <c r="L224" s="123">
        <f>L211</f>
        <v>20000</v>
      </c>
      <c r="M224" s="70">
        <f t="shared" si="1085"/>
        <v>-0.5</v>
      </c>
      <c r="N224" s="70">
        <f t="shared" si="1086"/>
        <v>-0.30067484877093609</v>
      </c>
      <c r="Q224" s="123">
        <f>Q211</f>
        <v>20000</v>
      </c>
      <c r="R224" s="123">
        <f>R211</f>
        <v>3993</v>
      </c>
      <c r="S224" s="123">
        <f>S211</f>
        <v>8000</v>
      </c>
      <c r="T224" s="123">
        <f>T211</f>
        <v>-12000</v>
      </c>
      <c r="U224" s="155">
        <f t="shared" si="1087"/>
        <v>-0.6</v>
      </c>
      <c r="Y224" s="123">
        <f>Y211</f>
        <v>8000</v>
      </c>
      <c r="AA224" s="123">
        <f>AA211</f>
        <v>8500</v>
      </c>
      <c r="AB224" s="123">
        <f>AB211</f>
        <v>500</v>
      </c>
      <c r="AE224" s="123">
        <f>AE211</f>
        <v>9400</v>
      </c>
      <c r="AF224" s="182"/>
      <c r="AH224" s="123">
        <f>AH211</f>
        <v>9338</v>
      </c>
      <c r="AI224" s="17">
        <f t="shared" si="1088"/>
        <v>0.99340425531914889</v>
      </c>
      <c r="AK224" s="123">
        <f>AK211</f>
        <v>15000</v>
      </c>
      <c r="AL224" s="193">
        <f t="shared" si="1089"/>
        <v>0.75</v>
      </c>
      <c r="AM224" s="17">
        <f t="shared" si="1090"/>
        <v>1.5957446808510638</v>
      </c>
      <c r="AN224" s="17">
        <f t="shared" si="1091"/>
        <v>1.6063396872992075</v>
      </c>
      <c r="AS224" s="123">
        <f>AS211</f>
        <v>15000</v>
      </c>
      <c r="AU224" s="123">
        <f>AU211</f>
        <v>0</v>
      </c>
      <c r="AV224" s="123">
        <f>AV211</f>
        <v>15000</v>
      </c>
      <c r="AX224" s="123">
        <f>AX211</f>
        <v>0</v>
      </c>
      <c r="AY224" s="123">
        <f>AY211</f>
        <v>15000</v>
      </c>
      <c r="BA224" s="123">
        <f>BA211</f>
        <v>0</v>
      </c>
      <c r="BB224" s="123">
        <f>BB211</f>
        <v>15000</v>
      </c>
      <c r="BD224" s="123">
        <f>BD211</f>
        <v>-5000</v>
      </c>
      <c r="BE224" s="123">
        <f>BE211</f>
        <v>10000</v>
      </c>
      <c r="BG224" s="123">
        <f>BG211</f>
        <v>-2200</v>
      </c>
      <c r="BH224" s="123">
        <f>BH211</f>
        <v>7800</v>
      </c>
      <c r="BJ224" s="123">
        <f>BJ211</f>
        <v>5156</v>
      </c>
      <c r="BK224" s="236">
        <f t="shared" ref="BK224:BK225" si="1095">BJ224/BH224</f>
        <v>0.66102564102564099</v>
      </c>
      <c r="BM224" s="123">
        <f>BM211</f>
        <v>8000</v>
      </c>
      <c r="BN224" s="236">
        <f t="shared" si="1093"/>
        <v>1.5515903801396431</v>
      </c>
      <c r="BO224" s="236">
        <f t="shared" si="1094"/>
        <v>1.0256410256410255</v>
      </c>
      <c r="BQ224" s="123">
        <f>BQ211</f>
        <v>0</v>
      </c>
      <c r="BR224" s="123">
        <f>BR211</f>
        <v>8000</v>
      </c>
      <c r="BT224" s="123">
        <f>BT211</f>
        <v>0</v>
      </c>
      <c r="BU224" s="123">
        <f>BU211</f>
        <v>8000</v>
      </c>
      <c r="BW224" s="123">
        <f>BW211</f>
        <v>0</v>
      </c>
      <c r="BX224" s="123">
        <f>BX211</f>
        <v>8000</v>
      </c>
      <c r="BZ224" s="123">
        <f>BZ211</f>
        <v>0</v>
      </c>
      <c r="CA224" s="123">
        <f>CA211</f>
        <v>8000</v>
      </c>
      <c r="CC224" s="123">
        <f>CC211</f>
        <v>0</v>
      </c>
      <c r="CD224" s="123">
        <f>CD211</f>
        <v>8000</v>
      </c>
      <c r="CF224" s="123">
        <f>CF211</f>
        <v>0</v>
      </c>
      <c r="CG224" s="123">
        <f>CG211</f>
        <v>8000</v>
      </c>
      <c r="CI224" s="123">
        <f>CI211</f>
        <v>7000</v>
      </c>
      <c r="CJ224" s="123">
        <f>CJ211</f>
        <v>15000</v>
      </c>
      <c r="CL224" s="319">
        <f>CL211</f>
        <v>0</v>
      </c>
      <c r="CM224" s="123">
        <f>CM211</f>
        <v>15000</v>
      </c>
      <c r="CO224" s="123">
        <f>CO211</f>
        <v>0</v>
      </c>
      <c r="CP224" s="123">
        <f>CP211</f>
        <v>15000</v>
      </c>
      <c r="CR224" s="123">
        <f>CR211</f>
        <v>0</v>
      </c>
      <c r="CS224" s="123">
        <f>CS211</f>
        <v>15000</v>
      </c>
      <c r="CU224" s="123">
        <f>CU211</f>
        <v>3000</v>
      </c>
      <c r="CV224" s="123">
        <f>CV211</f>
        <v>18000</v>
      </c>
      <c r="CX224" s="123">
        <f>CX211</f>
        <v>0</v>
      </c>
      <c r="CY224" s="123">
        <f>CY211</f>
        <v>18000</v>
      </c>
      <c r="DA224" s="123">
        <f>DA211</f>
        <v>17718.36</v>
      </c>
      <c r="DC224" s="123">
        <f>DC211</f>
        <v>70000</v>
      </c>
      <c r="DE224" s="123">
        <f>DE211</f>
        <v>0</v>
      </c>
      <c r="DF224" s="123">
        <f>DF211</f>
        <v>70000</v>
      </c>
      <c r="DH224" s="123">
        <f>DH211</f>
        <v>0</v>
      </c>
      <c r="DI224" s="123">
        <f>DI211</f>
        <v>70000</v>
      </c>
      <c r="DK224" s="123">
        <f>DK211</f>
        <v>0</v>
      </c>
      <c r="DL224" s="123">
        <f>DL211</f>
        <v>70000</v>
      </c>
      <c r="DN224" s="123">
        <f>DN211</f>
        <v>0</v>
      </c>
      <c r="DO224" s="123">
        <f>DO211</f>
        <v>70000</v>
      </c>
      <c r="DQ224" s="123">
        <f>DQ211</f>
        <v>65000</v>
      </c>
      <c r="DR224" s="123">
        <f>DR211</f>
        <v>135000</v>
      </c>
      <c r="DT224" s="123">
        <f>DT211</f>
        <v>0</v>
      </c>
      <c r="DU224" s="123">
        <f>DU211</f>
        <v>135000</v>
      </c>
      <c r="DW224" s="123">
        <f>DW211</f>
        <v>0</v>
      </c>
      <c r="DX224" s="123">
        <f>DX211</f>
        <v>135000</v>
      </c>
      <c r="DZ224" s="123">
        <f>DZ211</f>
        <v>2000</v>
      </c>
      <c r="EA224" s="123">
        <f>EA211</f>
        <v>137000</v>
      </c>
      <c r="EC224" s="123">
        <f>EC211</f>
        <v>0</v>
      </c>
      <c r="ED224" s="123">
        <f>ED211</f>
        <v>137000</v>
      </c>
      <c r="EF224" s="123">
        <f>EF211</f>
        <v>0</v>
      </c>
      <c r="EG224" s="123">
        <f>EG211</f>
        <v>137000</v>
      </c>
      <c r="EI224" s="123">
        <f>EI211</f>
        <v>136271.85999999999</v>
      </c>
      <c r="EK224" s="123">
        <f>EK211</f>
        <v>5000</v>
      </c>
      <c r="EL224" s="377">
        <f>EK224/EI224-1</f>
        <v>-0.96330863906899045</v>
      </c>
      <c r="EM224" s="123">
        <f>EM211</f>
        <v>0</v>
      </c>
      <c r="EN224" s="123">
        <f>EN211</f>
        <v>5000</v>
      </c>
      <c r="EP224" s="123">
        <f>EP211</f>
        <v>0</v>
      </c>
      <c r="EQ224" s="123">
        <f>EQ211</f>
        <v>5000</v>
      </c>
      <c r="ES224" s="123">
        <f>ES211</f>
        <v>0</v>
      </c>
      <c r="ET224" s="123">
        <f>ET211</f>
        <v>5000</v>
      </c>
      <c r="EV224" s="123">
        <f>EV211</f>
        <v>0</v>
      </c>
      <c r="EW224" s="123">
        <f>EW211</f>
        <v>5000</v>
      </c>
      <c r="EY224" s="123">
        <f>EY211</f>
        <v>0</v>
      </c>
      <c r="EZ224" s="123">
        <f>EZ211</f>
        <v>5000</v>
      </c>
      <c r="FB224" s="123">
        <f>FB211</f>
        <v>0</v>
      </c>
      <c r="FC224" s="123">
        <f>FC211</f>
        <v>5000</v>
      </c>
      <c r="FE224" s="123">
        <f>FE211</f>
        <v>0</v>
      </c>
      <c r="FF224" s="123">
        <f>FF211</f>
        <v>5000</v>
      </c>
      <c r="FH224" s="123">
        <f>FH211</f>
        <v>0</v>
      </c>
      <c r="FI224" s="123">
        <f>FI211</f>
        <v>5000</v>
      </c>
      <c r="FK224" s="123">
        <f>FK211</f>
        <v>20000</v>
      </c>
      <c r="FL224" s="123">
        <f>FL211</f>
        <v>25000</v>
      </c>
      <c r="FN224" s="123">
        <f>FN211</f>
        <v>0</v>
      </c>
      <c r="FO224" s="123">
        <f>FO211</f>
        <v>25000</v>
      </c>
      <c r="FQ224" s="123">
        <v>0</v>
      </c>
      <c r="FR224" s="123">
        <v>25000</v>
      </c>
      <c r="FT224" s="123">
        <f>FT211</f>
        <v>21711</v>
      </c>
      <c r="FV224" s="123">
        <f>FV211</f>
        <v>25000</v>
      </c>
      <c r="FW224" s="235">
        <f t="shared" si="989"/>
        <v>1.1514900280963567</v>
      </c>
    </row>
    <row r="225" spans="1:181" ht="15.75" customHeight="1" thickTop="1" thickBot="1">
      <c r="A225" s="75" t="s">
        <v>201</v>
      </c>
      <c r="B225" s="76" t="s">
        <v>277</v>
      </c>
      <c r="C225" s="285" t="s">
        <v>346</v>
      </c>
      <c r="D225" s="78">
        <f>D218+D220</f>
        <v>900000</v>
      </c>
      <c r="E225" s="79"/>
      <c r="F225" s="78">
        <f>F218+F220</f>
        <v>270400</v>
      </c>
      <c r="G225" s="79"/>
      <c r="H225" s="78"/>
      <c r="I225" s="78">
        <f>I218+I220</f>
        <v>270398.71000000002</v>
      </c>
      <c r="J225" s="80"/>
      <c r="K225" s="77"/>
      <c r="L225" s="124">
        <f>L218+L220</f>
        <v>660000</v>
      </c>
      <c r="M225" s="81">
        <f t="shared" si="1085"/>
        <v>1.440828402366864</v>
      </c>
      <c r="N225" s="81">
        <f t="shared" si="1086"/>
        <v>1.4408400469070282</v>
      </c>
      <c r="Q225" s="124">
        <f>Q218+Q220</f>
        <v>1016000</v>
      </c>
      <c r="R225" s="124">
        <f>R218+R220</f>
        <v>0</v>
      </c>
      <c r="S225" s="124">
        <f>S218+S220</f>
        <v>906000</v>
      </c>
      <c r="T225" s="124">
        <f>T218+T220</f>
        <v>-110000</v>
      </c>
      <c r="U225" s="156">
        <f t="shared" si="1087"/>
        <v>-0.1082677165354331</v>
      </c>
      <c r="Y225" s="124">
        <f>Y218+Y220</f>
        <v>906000</v>
      </c>
      <c r="AA225" s="124">
        <f>AA218+AA220</f>
        <v>905010</v>
      </c>
      <c r="AB225" s="124">
        <f>AB218+AB220</f>
        <v>-990</v>
      </c>
      <c r="AE225" s="124">
        <f>AE218+AE220</f>
        <v>905010</v>
      </c>
      <c r="AF225" s="182"/>
      <c r="AH225" s="124">
        <f>AH218+AH220</f>
        <v>905007.4</v>
      </c>
      <c r="AI225" s="17">
        <f t="shared" si="1088"/>
        <v>0.99999712710356792</v>
      </c>
      <c r="AK225" s="124">
        <f>AK218+AK220</f>
        <v>0</v>
      </c>
      <c r="AL225" s="193">
        <f t="shared" si="1089"/>
        <v>0</v>
      </c>
      <c r="AM225" s="17">
        <f t="shared" si="1090"/>
        <v>0</v>
      </c>
      <c r="AN225" s="17">
        <f t="shared" si="1091"/>
        <v>0</v>
      </c>
      <c r="AS225" s="124">
        <f>AS218+AS220</f>
        <v>0</v>
      </c>
      <c r="AU225" s="124">
        <f>AU218+AU220</f>
        <v>0</v>
      </c>
      <c r="AV225" s="124">
        <f>AV218+AV220</f>
        <v>0</v>
      </c>
      <c r="AX225" s="124">
        <f>AX218+AX220</f>
        <v>0</v>
      </c>
      <c r="AY225" s="124">
        <f>AY218+AY220</f>
        <v>0</v>
      </c>
      <c r="BA225" s="124">
        <f>BA218+BA220</f>
        <v>0</v>
      </c>
      <c r="BB225" s="124">
        <f>BB218+BB220</f>
        <v>0</v>
      </c>
      <c r="BD225" s="124">
        <f>BD218+BD220</f>
        <v>0</v>
      </c>
      <c r="BE225" s="124">
        <f>BE218+BE220</f>
        <v>0</v>
      </c>
      <c r="BG225" s="124">
        <f>BG218+BG220</f>
        <v>0</v>
      </c>
      <c r="BH225" s="124">
        <f>BH218+BH220</f>
        <v>0</v>
      </c>
      <c r="BJ225" s="124">
        <f>BJ218+BJ220</f>
        <v>0</v>
      </c>
      <c r="BK225" s="237" t="e">
        <f t="shared" si="1095"/>
        <v>#DIV/0!</v>
      </c>
      <c r="BM225" s="124">
        <f>BM218+BM220</f>
        <v>0</v>
      </c>
      <c r="BN225" s="237" t="e">
        <f t="shared" si="1093"/>
        <v>#DIV/0!</v>
      </c>
      <c r="BO225" s="237" t="e">
        <f t="shared" si="1094"/>
        <v>#DIV/0!</v>
      </c>
      <c r="BQ225" s="124">
        <f>BQ218+BQ220</f>
        <v>0</v>
      </c>
      <c r="BR225" s="124">
        <f>BR218+BR220</f>
        <v>0</v>
      </c>
      <c r="BT225" s="124">
        <f>BT218+BT220</f>
        <v>0</v>
      </c>
      <c r="BU225" s="124">
        <f>BU218+BU220</f>
        <v>0</v>
      </c>
      <c r="BW225" s="124">
        <f>BW218+BW220</f>
        <v>0</v>
      </c>
      <c r="BX225" s="124">
        <f>BX218+BX220</f>
        <v>0</v>
      </c>
      <c r="BZ225" s="124">
        <f>BZ218+BZ220</f>
        <v>0</v>
      </c>
      <c r="CA225" s="124">
        <f>CA218+CA220</f>
        <v>0</v>
      </c>
      <c r="CC225" s="124">
        <f>CC218+CC220</f>
        <v>0</v>
      </c>
      <c r="CD225" s="124">
        <f>CD218+CD220</f>
        <v>0</v>
      </c>
      <c r="CF225" s="124">
        <f>CF218+CF220</f>
        <v>0</v>
      </c>
      <c r="CG225" s="124">
        <f>CG218+CG220</f>
        <v>0</v>
      </c>
      <c r="CI225" s="124">
        <f>CI218+CI220</f>
        <v>0</v>
      </c>
      <c r="CJ225" s="124">
        <f>CJ218+CJ220</f>
        <v>0</v>
      </c>
      <c r="CL225" s="319">
        <f>CL218+CL220</f>
        <v>0</v>
      </c>
      <c r="CM225" s="124">
        <f>CM218+CM220</f>
        <v>0</v>
      </c>
      <c r="CO225" s="124">
        <f>CO218+CO220</f>
        <v>0</v>
      </c>
      <c r="CP225" s="124">
        <f>CP218+CP220</f>
        <v>0</v>
      </c>
      <c r="CR225" s="124">
        <f>CR218+CR220</f>
        <v>0</v>
      </c>
      <c r="CS225" s="124">
        <f>CS218+CS220</f>
        <v>0</v>
      </c>
      <c r="CU225" s="124">
        <f>CU218+CU220</f>
        <v>0</v>
      </c>
      <c r="CV225" s="124">
        <f>CV218+CV220</f>
        <v>0</v>
      </c>
      <c r="CX225" s="124">
        <f>CX218+CX220</f>
        <v>0</v>
      </c>
      <c r="CY225" s="124">
        <f>CY218+CY220</f>
        <v>0</v>
      </c>
      <c r="DA225" s="124">
        <f>DA218+DA220</f>
        <v>0</v>
      </c>
      <c r="DC225" s="124">
        <f>DC218+DC220</f>
        <v>0</v>
      </c>
      <c r="DE225" s="124">
        <f>DE218+DE220</f>
        <v>0</v>
      </c>
      <c r="DF225" s="124">
        <f>DF218+DF220</f>
        <v>0</v>
      </c>
      <c r="DH225" s="124">
        <f>DH218+DH220</f>
        <v>0</v>
      </c>
      <c r="DI225" s="124">
        <f>DI218+DI220</f>
        <v>0</v>
      </c>
      <c r="DK225" s="124">
        <f>DK218+DK220</f>
        <v>0</v>
      </c>
      <c r="DL225" s="124">
        <f>DL218+DL220</f>
        <v>0</v>
      </c>
      <c r="DN225" s="124">
        <f>DN218+DN220</f>
        <v>0</v>
      </c>
      <c r="DO225" s="124">
        <f>DO218+DO220</f>
        <v>0</v>
      </c>
      <c r="DQ225" s="124">
        <f>DQ218+DQ220</f>
        <v>0</v>
      </c>
      <c r="DR225" s="124">
        <f>DR218+DR220</f>
        <v>0</v>
      </c>
      <c r="DT225" s="124">
        <f>DT218+DT220</f>
        <v>0</v>
      </c>
      <c r="DU225" s="124">
        <f>DU218+DU220</f>
        <v>0</v>
      </c>
      <c r="DW225" s="124">
        <f>DW218+DW220</f>
        <v>0</v>
      </c>
      <c r="DX225" s="124">
        <f>DX218+DX220</f>
        <v>0</v>
      </c>
      <c r="DZ225" s="124">
        <f>DZ218+DZ220</f>
        <v>0</v>
      </c>
      <c r="EA225" s="124">
        <f>EA218+EA220</f>
        <v>0</v>
      </c>
      <c r="EC225" s="124">
        <f>EC218+EC220</f>
        <v>0</v>
      </c>
      <c r="ED225" s="124">
        <f>ED218+ED220</f>
        <v>0</v>
      </c>
      <c r="EF225" s="124">
        <f>EF218+EF220</f>
        <v>0</v>
      </c>
      <c r="EG225" s="124">
        <f>EG218+EG220</f>
        <v>0</v>
      </c>
      <c r="EI225" s="124">
        <f>EI218+EI220</f>
        <v>0</v>
      </c>
      <c r="EK225" s="124">
        <f>EK218+EK220</f>
        <v>0</v>
      </c>
      <c r="EL225" s="377" t="e">
        <f>EK225/EI225-1</f>
        <v>#DIV/0!</v>
      </c>
      <c r="EM225" s="124">
        <f>EM218+EM220</f>
        <v>0</v>
      </c>
      <c r="EN225" s="124">
        <f>EN218+EN220</f>
        <v>0</v>
      </c>
      <c r="EP225" s="124">
        <f>EP218+EP220</f>
        <v>0</v>
      </c>
      <c r="EQ225" s="124">
        <f>EQ218+EQ220</f>
        <v>0</v>
      </c>
      <c r="ES225" s="124">
        <f>ES218+ES220</f>
        <v>0</v>
      </c>
      <c r="ET225" s="124">
        <f>ET218+ET220</f>
        <v>0</v>
      </c>
      <c r="EV225" s="124">
        <f>EV218+EV220</f>
        <v>0</v>
      </c>
      <c r="EW225" s="124">
        <f>EW218+EW220</f>
        <v>0</v>
      </c>
      <c r="EY225" s="124">
        <f>EY218+EY220</f>
        <v>0</v>
      </c>
      <c r="EZ225" s="124">
        <f>EZ218+EZ220</f>
        <v>0</v>
      </c>
      <c r="FB225" s="124">
        <f>FB218+FB220</f>
        <v>0</v>
      </c>
      <c r="FC225" s="124">
        <f>FC218+FC220</f>
        <v>0</v>
      </c>
      <c r="FE225" s="124">
        <f>FE218+FE220</f>
        <v>0</v>
      </c>
      <c r="FF225" s="124">
        <f>FF218+FF220</f>
        <v>0</v>
      </c>
      <c r="FH225" s="124">
        <f>FH218+FH220</f>
        <v>0</v>
      </c>
      <c r="FI225" s="124">
        <f>FI218+FI220</f>
        <v>0</v>
      </c>
      <c r="FK225" s="124">
        <f>FK218+FK220</f>
        <v>0</v>
      </c>
      <c r="FL225" s="124">
        <f>FL218+FL220</f>
        <v>0</v>
      </c>
      <c r="FN225" s="124">
        <f>FN218+FN220</f>
        <v>0</v>
      </c>
      <c r="FO225" s="124">
        <f>FO218+FO220</f>
        <v>0</v>
      </c>
      <c r="FQ225" s="124">
        <v>0</v>
      </c>
      <c r="FR225" s="124">
        <v>0</v>
      </c>
      <c r="FT225" s="124">
        <f>FT218+FT220+FT219</f>
        <v>0</v>
      </c>
      <c r="FV225" s="124">
        <f>FV218+FV220+FV219</f>
        <v>50000</v>
      </c>
      <c r="FW225" s="235" t="e">
        <f t="shared" si="989"/>
        <v>#DIV/0!</v>
      </c>
    </row>
    <row r="226" spans="1:181" ht="15.75" outlineLevel="1" thickTop="1">
      <c r="A226" s="1" t="s">
        <v>215</v>
      </c>
      <c r="B226" s="1" t="s">
        <v>216</v>
      </c>
      <c r="C226" s="4" t="s">
        <v>217</v>
      </c>
      <c r="D226" s="43">
        <v>722000</v>
      </c>
      <c r="E226" s="34">
        <v>112.02</v>
      </c>
      <c r="F226" s="43">
        <v>1080000</v>
      </c>
      <c r="G226" s="34">
        <v>74.89</v>
      </c>
      <c r="H226" s="46">
        <v>808768</v>
      </c>
      <c r="I226" s="36">
        <f>H226+2*'[2]2020'!$C$15</f>
        <v>927768</v>
      </c>
      <c r="J226" s="14"/>
      <c r="K226" t="s">
        <v>332</v>
      </c>
      <c r="L226" s="118">
        <f>12*'[2]2020'!$D$15+20</f>
        <v>764000.00000000012</v>
      </c>
      <c r="M226" s="17">
        <f t="shared" si="1085"/>
        <v>-0.29259259259259252</v>
      </c>
      <c r="N226" s="17">
        <f t="shared" si="1086"/>
        <v>-0.17651826749790889</v>
      </c>
      <c r="Q226" s="118">
        <v>764000</v>
      </c>
      <c r="R226" s="15">
        <v>378930</v>
      </c>
      <c r="S226" s="118">
        <v>764000</v>
      </c>
      <c r="T226" s="15">
        <f>S226-Q226</f>
        <v>0</v>
      </c>
      <c r="U226" s="16">
        <f t="shared" si="1087"/>
        <v>0</v>
      </c>
      <c r="Y226" s="118">
        <v>764000</v>
      </c>
      <c r="AA226" s="118">
        <v>764000</v>
      </c>
      <c r="AB226" s="185">
        <f t="shared" ref="AB226:AB228" si="1096">AA226-Y226</f>
        <v>0</v>
      </c>
      <c r="AC226" s="187">
        <f t="shared" ref="AC226:AC228" si="1097">AA226-Y226</f>
        <v>0</v>
      </c>
      <c r="AD226" s="187"/>
      <c r="AE226" s="118">
        <v>764000</v>
      </c>
      <c r="AF226" s="182"/>
      <c r="AH226" s="15">
        <v>762246</v>
      </c>
      <c r="AI226" s="17">
        <f t="shared" si="1088"/>
        <v>0.99770418848167541</v>
      </c>
      <c r="AK226" s="118">
        <v>764000</v>
      </c>
      <c r="AS226" s="15">
        <f t="shared" ref="AS226:AS228" si="1098">AR226+AK226</f>
        <v>764000</v>
      </c>
      <c r="AV226" s="15">
        <f t="shared" ref="AV226:AV228" si="1099">AS226+AU226</f>
        <v>764000</v>
      </c>
      <c r="AX226" s="15"/>
      <c r="AY226" s="15">
        <f t="shared" ref="AY226:AY228" si="1100">AV226+AX226</f>
        <v>764000</v>
      </c>
      <c r="BB226" s="15">
        <f t="shared" ref="BB226:BB228" si="1101">AY226+BA226</f>
        <v>764000</v>
      </c>
      <c r="BD226" s="15">
        <v>1000</v>
      </c>
      <c r="BE226" s="15">
        <f t="shared" ref="BE226:BE228" si="1102">BB226+BD226</f>
        <v>765000</v>
      </c>
      <c r="BG226" s="15">
        <v>2000</v>
      </c>
      <c r="BH226" s="15">
        <f t="shared" ref="BH226:BH228" si="1103">BE226+BG226</f>
        <v>767000</v>
      </c>
      <c r="BJ226" s="15">
        <v>766632</v>
      </c>
      <c r="BK226" s="235">
        <f t="shared" ref="BK226:BK228" si="1104">BJ226/BH226</f>
        <v>0.99952020860495439</v>
      </c>
      <c r="BM226" s="15">
        <v>767000</v>
      </c>
      <c r="BN226" s="235">
        <f t="shared" ref="BN226:BN230" si="1105">BM226/BJ226</f>
        <v>1.0004800217053293</v>
      </c>
      <c r="BO226" s="235">
        <f t="shared" ref="BO226:BO230" si="1106">BM226/BH226</f>
        <v>1</v>
      </c>
      <c r="BQ226" s="15"/>
      <c r="BR226" s="15">
        <f t="shared" ref="BR226:BR228" si="1107">BM226+BQ226</f>
        <v>767000</v>
      </c>
      <c r="BT226" s="15"/>
      <c r="BU226" s="15">
        <f>BR226+BT226</f>
        <v>767000</v>
      </c>
      <c r="BW226" s="15"/>
      <c r="BX226" s="15">
        <f>BU226+BW226</f>
        <v>767000</v>
      </c>
      <c r="BZ226" s="15"/>
      <c r="CA226" s="15">
        <f>BX226+BZ226</f>
        <v>767000</v>
      </c>
      <c r="CC226" s="15"/>
      <c r="CD226" s="15">
        <f>CA226+CC226</f>
        <v>767000</v>
      </c>
      <c r="CF226" s="15"/>
      <c r="CG226" s="15">
        <f>CD226+CF226</f>
        <v>767000</v>
      </c>
      <c r="CI226" s="15"/>
      <c r="CJ226" s="15">
        <f>CG226+CI226</f>
        <v>767000</v>
      </c>
      <c r="CM226" s="15">
        <f>CJ226+CL226</f>
        <v>767000</v>
      </c>
      <c r="CP226" s="15">
        <f>CM226+CO226</f>
        <v>767000</v>
      </c>
      <c r="CS226" s="15">
        <f>CP226+CR226</f>
        <v>767000</v>
      </c>
      <c r="CU226" s="227">
        <v>20000</v>
      </c>
      <c r="CV226" s="15">
        <f>CS226+CU226</f>
        <v>787000</v>
      </c>
      <c r="CX226" s="227"/>
      <c r="CY226" s="15">
        <f>CV226+CX226</f>
        <v>787000</v>
      </c>
      <c r="DA226" s="15">
        <v>786269</v>
      </c>
      <c r="DC226" s="15">
        <v>815000</v>
      </c>
      <c r="DE226" s="15"/>
      <c r="DF226" s="15">
        <f t="shared" ref="DF226:DF228" si="1108">DC226+DE226</f>
        <v>815000</v>
      </c>
      <c r="DH226" s="15"/>
      <c r="DI226" s="15">
        <f t="shared" ref="DI226:DI228" si="1109">DF226+DH226</f>
        <v>815000</v>
      </c>
      <c r="DK226" s="15"/>
      <c r="DL226" s="15">
        <f t="shared" ref="DL226:DL228" si="1110">DI226+DK226</f>
        <v>815000</v>
      </c>
      <c r="DN226" s="15"/>
      <c r="DO226" s="15">
        <f t="shared" ref="DO226:DO228" si="1111">DL226+DN226</f>
        <v>815000</v>
      </c>
      <c r="DQ226" s="15"/>
      <c r="DR226" s="15">
        <f t="shared" ref="DR226:DR228" si="1112">DO226+DQ226</f>
        <v>815000</v>
      </c>
      <c r="DT226" s="15"/>
      <c r="DU226" s="15">
        <f t="shared" ref="DU226:DU228" si="1113">DR226+DT226</f>
        <v>815000</v>
      </c>
      <c r="DW226" s="15"/>
      <c r="DX226" s="15">
        <f t="shared" ref="DX226:DX228" si="1114">DU226+DW226</f>
        <v>815000</v>
      </c>
      <c r="DZ226" s="15"/>
      <c r="EA226" s="15">
        <f t="shared" ref="EA226:EA228" si="1115">DX226+DZ226</f>
        <v>815000</v>
      </c>
      <c r="EC226" s="15"/>
      <c r="ED226" s="15">
        <f t="shared" ref="ED226:ED228" si="1116">EA226+EC226</f>
        <v>815000</v>
      </c>
      <c r="EF226" s="15"/>
      <c r="EG226" s="15">
        <f t="shared" ref="EG226:EG228" si="1117">ED226+EF226</f>
        <v>815000</v>
      </c>
      <c r="EI226" s="15">
        <v>814606</v>
      </c>
      <c r="EK226" s="15">
        <v>891500</v>
      </c>
      <c r="EM226" s="15"/>
      <c r="EN226" s="15">
        <f t="shared" ref="EN226:EN228" si="1118">EK226+EM226</f>
        <v>891500</v>
      </c>
      <c r="EP226" s="15"/>
      <c r="EQ226" s="15">
        <f t="shared" ref="EQ226:EQ228" si="1119">EN226+EP226</f>
        <v>891500</v>
      </c>
      <c r="ES226" s="15"/>
      <c r="ET226" s="15">
        <f t="shared" ref="ET226:ET228" si="1120">EQ226+ES226</f>
        <v>891500</v>
      </c>
      <c r="EW226" s="15">
        <f t="shared" ref="EW226:EW228" si="1121">ET226+EV226</f>
        <v>891500</v>
      </c>
      <c r="EZ226" s="15">
        <f t="shared" ref="EZ226:EZ228" si="1122">EW226+EY226</f>
        <v>891500</v>
      </c>
      <c r="FB226" s="227">
        <v>15000</v>
      </c>
      <c r="FC226" s="15">
        <f t="shared" ref="FC226:FC228" si="1123">EZ226+FB226</f>
        <v>906500</v>
      </c>
      <c r="FF226" s="15">
        <f t="shared" ref="FF226:FF228" si="1124">FC226+FE226</f>
        <v>906500</v>
      </c>
      <c r="FI226" s="15">
        <f t="shared" ref="FI226:FI228" si="1125">FF226+FH226</f>
        <v>906500</v>
      </c>
      <c r="FL226" s="15">
        <f t="shared" ref="FL226:FL228" si="1126">FI226+FK226</f>
        <v>906500</v>
      </c>
      <c r="FO226" s="15">
        <f t="shared" ref="FO226:FO228" si="1127">FL226+FN226</f>
        <v>906500</v>
      </c>
      <c r="FR226" s="15">
        <v>906500</v>
      </c>
      <c r="FT226" s="15">
        <v>902029</v>
      </c>
      <c r="FV226" s="15">
        <v>935400</v>
      </c>
      <c r="FW226" s="235">
        <f t="shared" si="989"/>
        <v>1.0369954846241085</v>
      </c>
    </row>
    <row r="227" spans="1:181" outlineLevel="1">
      <c r="A227" s="1" t="s">
        <v>215</v>
      </c>
      <c r="B227" s="1" t="s">
        <v>185</v>
      </c>
      <c r="C227" s="4" t="s">
        <v>186</v>
      </c>
      <c r="D227" s="43">
        <v>133000</v>
      </c>
      <c r="E227" s="34">
        <v>89.88</v>
      </c>
      <c r="F227" s="43">
        <v>133000</v>
      </c>
      <c r="G227" s="34">
        <v>89.88</v>
      </c>
      <c r="H227" s="46">
        <v>119545</v>
      </c>
      <c r="I227" s="36">
        <v>140000</v>
      </c>
      <c r="J227" s="14"/>
      <c r="K227" t="s">
        <v>332</v>
      </c>
      <c r="L227" s="118">
        <v>133000</v>
      </c>
      <c r="M227" s="17">
        <f t="shared" si="1085"/>
        <v>0</v>
      </c>
      <c r="N227" s="17">
        <f t="shared" si="1086"/>
        <v>-5.0000000000000044E-2</v>
      </c>
      <c r="Q227" s="118">
        <v>133000</v>
      </c>
      <c r="R227" s="15">
        <v>70702</v>
      </c>
      <c r="S227" s="118">
        <v>140000</v>
      </c>
      <c r="T227" s="15">
        <f>S227-Q227</f>
        <v>7000</v>
      </c>
      <c r="U227" s="16">
        <f t="shared" si="1087"/>
        <v>5.2631578947368363E-2</v>
      </c>
      <c r="Y227" s="118">
        <v>140000</v>
      </c>
      <c r="AA227" s="118">
        <v>142400</v>
      </c>
      <c r="AB227" s="185">
        <f t="shared" si="1096"/>
        <v>2400</v>
      </c>
      <c r="AC227" s="187">
        <f t="shared" si="1097"/>
        <v>2400</v>
      </c>
      <c r="AD227" s="187"/>
      <c r="AE227" s="118">
        <v>142500</v>
      </c>
      <c r="AF227" s="182">
        <f>AE227-AA227</f>
        <v>100</v>
      </c>
      <c r="AH227" s="15">
        <v>142492</v>
      </c>
      <c r="AI227" s="17">
        <f t="shared" si="1088"/>
        <v>0.9999438596491228</v>
      </c>
      <c r="AK227" s="118">
        <v>144000</v>
      </c>
      <c r="AS227" s="15">
        <f t="shared" si="1098"/>
        <v>144000</v>
      </c>
      <c r="AV227" s="15">
        <f t="shared" si="1099"/>
        <v>144000</v>
      </c>
      <c r="AX227" s="15"/>
      <c r="AY227" s="15">
        <f t="shared" si="1100"/>
        <v>144000</v>
      </c>
      <c r="BB227" s="15">
        <f t="shared" si="1101"/>
        <v>144000</v>
      </c>
      <c r="BD227" s="15"/>
      <c r="BE227" s="15">
        <f t="shared" si="1102"/>
        <v>144000</v>
      </c>
      <c r="BG227" s="15"/>
      <c r="BH227" s="15">
        <f t="shared" si="1103"/>
        <v>144000</v>
      </c>
      <c r="BJ227" s="15">
        <v>143580</v>
      </c>
      <c r="BK227" s="235">
        <f t="shared" si="1104"/>
        <v>0.99708333333333332</v>
      </c>
      <c r="BM227" s="15">
        <v>144000</v>
      </c>
      <c r="BN227" s="235">
        <f t="shared" si="1105"/>
        <v>1.0029251984956122</v>
      </c>
      <c r="BO227" s="235">
        <f t="shared" si="1106"/>
        <v>1</v>
      </c>
      <c r="BQ227" s="15"/>
      <c r="BR227" s="15">
        <f t="shared" si="1107"/>
        <v>144000</v>
      </c>
      <c r="BT227" s="15"/>
      <c r="BU227" s="15">
        <f>BR227+BT227</f>
        <v>144000</v>
      </c>
      <c r="BW227" s="15"/>
      <c r="BX227" s="15">
        <f>BU227+BW227</f>
        <v>144000</v>
      </c>
      <c r="BZ227" s="15"/>
      <c r="CA227" s="15">
        <f>BX227+BZ227</f>
        <v>144000</v>
      </c>
      <c r="CC227" s="15"/>
      <c r="CD227" s="15">
        <f>CA227+CC227</f>
        <v>144000</v>
      </c>
      <c r="CF227" s="15"/>
      <c r="CG227" s="15">
        <f>CD227+CF227</f>
        <v>144000</v>
      </c>
      <c r="CI227" s="15"/>
      <c r="CJ227" s="15">
        <f>CG227+CI227</f>
        <v>144000</v>
      </c>
      <c r="CM227" s="15">
        <f>CJ227+CL227</f>
        <v>144000</v>
      </c>
      <c r="CP227" s="15">
        <f>CM227+CO227</f>
        <v>144000</v>
      </c>
      <c r="CS227" s="15">
        <f>CP227+CR227</f>
        <v>144000</v>
      </c>
      <c r="CU227" s="227">
        <v>5000</v>
      </c>
      <c r="CV227" s="15">
        <f>CS227+CU227</f>
        <v>149000</v>
      </c>
      <c r="CX227" s="227"/>
      <c r="CY227" s="15">
        <f>CV227+CX227</f>
        <v>149000</v>
      </c>
      <c r="DA227" s="15">
        <v>148764</v>
      </c>
      <c r="DC227" s="15">
        <v>155000</v>
      </c>
      <c r="DE227" s="15"/>
      <c r="DF227" s="15">
        <f t="shared" si="1108"/>
        <v>155000</v>
      </c>
      <c r="DH227" s="15"/>
      <c r="DI227" s="15">
        <f t="shared" si="1109"/>
        <v>155000</v>
      </c>
      <c r="DK227" s="15"/>
      <c r="DL227" s="15">
        <f t="shared" si="1110"/>
        <v>155000</v>
      </c>
      <c r="DN227" s="15"/>
      <c r="DO227" s="15">
        <f t="shared" si="1111"/>
        <v>155000</v>
      </c>
      <c r="DQ227" s="15"/>
      <c r="DR227" s="15">
        <f t="shared" si="1112"/>
        <v>155000</v>
      </c>
      <c r="DT227" s="15"/>
      <c r="DU227" s="15">
        <f t="shared" si="1113"/>
        <v>155000</v>
      </c>
      <c r="DW227" s="15"/>
      <c r="DX227" s="15">
        <f t="shared" si="1114"/>
        <v>155000</v>
      </c>
      <c r="DZ227" s="15"/>
      <c r="EA227" s="15">
        <f t="shared" si="1115"/>
        <v>155000</v>
      </c>
      <c r="EC227" s="15"/>
      <c r="ED227" s="15">
        <f t="shared" si="1116"/>
        <v>155000</v>
      </c>
      <c r="EF227" s="227">
        <v>2000</v>
      </c>
      <c r="EG227" s="15">
        <f t="shared" si="1117"/>
        <v>157000</v>
      </c>
      <c r="EI227" s="15">
        <v>156737</v>
      </c>
      <c r="EK227" s="15">
        <v>165000</v>
      </c>
      <c r="EM227" s="15"/>
      <c r="EN227" s="15">
        <f t="shared" si="1118"/>
        <v>165000</v>
      </c>
      <c r="EP227" s="15"/>
      <c r="EQ227" s="15">
        <f t="shared" si="1119"/>
        <v>165000</v>
      </c>
      <c r="ES227" s="15"/>
      <c r="ET227" s="15">
        <f t="shared" si="1120"/>
        <v>165000</v>
      </c>
      <c r="EW227" s="15">
        <f t="shared" si="1121"/>
        <v>165000</v>
      </c>
      <c r="EZ227" s="15">
        <f t="shared" si="1122"/>
        <v>165000</v>
      </c>
      <c r="FB227" s="227">
        <v>5000</v>
      </c>
      <c r="FC227" s="15">
        <f t="shared" si="1123"/>
        <v>170000</v>
      </c>
      <c r="FF227" s="15">
        <f t="shared" si="1124"/>
        <v>170000</v>
      </c>
      <c r="FI227" s="15">
        <f t="shared" si="1125"/>
        <v>170000</v>
      </c>
      <c r="FK227" s="227">
        <v>4200</v>
      </c>
      <c r="FL227" s="15">
        <f t="shared" si="1126"/>
        <v>174200</v>
      </c>
      <c r="FO227" s="15">
        <f t="shared" si="1127"/>
        <v>174200</v>
      </c>
      <c r="FR227" s="15">
        <v>174200</v>
      </c>
      <c r="FT227" s="15">
        <v>173631</v>
      </c>
      <c r="FV227" s="15">
        <v>180000</v>
      </c>
      <c r="FW227" s="235">
        <f t="shared" si="989"/>
        <v>1.036681237797398</v>
      </c>
    </row>
    <row r="228" spans="1:181" outlineLevel="1">
      <c r="A228" s="1" t="s">
        <v>215</v>
      </c>
      <c r="B228" s="1" t="s">
        <v>187</v>
      </c>
      <c r="C228" s="4" t="s">
        <v>188</v>
      </c>
      <c r="D228" s="43">
        <v>65000</v>
      </c>
      <c r="E228" s="34">
        <v>89.1</v>
      </c>
      <c r="F228" s="43">
        <v>65000</v>
      </c>
      <c r="G228" s="34">
        <v>89.1</v>
      </c>
      <c r="H228" s="46">
        <v>57917</v>
      </c>
      <c r="I228" s="36">
        <f>H228*I2</f>
        <v>69500.399999999994</v>
      </c>
      <c r="J228" s="14"/>
      <c r="K228" t="s">
        <v>332</v>
      </c>
      <c r="L228" s="118">
        <v>65000</v>
      </c>
      <c r="M228" s="17">
        <f t="shared" si="1085"/>
        <v>0</v>
      </c>
      <c r="N228" s="17">
        <f t="shared" si="1086"/>
        <v>-6.4753584152033583E-2</v>
      </c>
      <c r="Q228" s="118">
        <v>65000</v>
      </c>
      <c r="R228" s="15">
        <v>34099</v>
      </c>
      <c r="S228" s="118">
        <v>69000</v>
      </c>
      <c r="T228" s="15">
        <f>S228-Q228</f>
        <v>4000</v>
      </c>
      <c r="U228" s="16">
        <f t="shared" si="1087"/>
        <v>6.1538461538461542E-2</v>
      </c>
      <c r="Y228" s="118">
        <v>69000</v>
      </c>
      <c r="AA228" s="118">
        <v>69000</v>
      </c>
      <c r="AB228" s="185">
        <f t="shared" si="1096"/>
        <v>0</v>
      </c>
      <c r="AC228" s="187">
        <f t="shared" si="1097"/>
        <v>0</v>
      </c>
      <c r="AD228" s="187"/>
      <c r="AE228" s="118">
        <v>69000</v>
      </c>
      <c r="AF228" s="182"/>
      <c r="AH228" s="15">
        <v>68593</v>
      </c>
      <c r="AI228" s="17">
        <f t="shared" si="1088"/>
        <v>0.99410144927536237</v>
      </c>
      <c r="AK228" s="118">
        <v>69000</v>
      </c>
      <c r="AS228" s="15">
        <f t="shared" si="1098"/>
        <v>69000</v>
      </c>
      <c r="AV228" s="15">
        <f t="shared" si="1099"/>
        <v>69000</v>
      </c>
      <c r="AX228" s="15"/>
      <c r="AY228" s="15">
        <f t="shared" si="1100"/>
        <v>69000</v>
      </c>
      <c r="BB228" s="15">
        <f t="shared" si="1101"/>
        <v>69000</v>
      </c>
      <c r="BD228" s="15"/>
      <c r="BE228" s="15">
        <f t="shared" si="1102"/>
        <v>69000</v>
      </c>
      <c r="BG228" s="15"/>
      <c r="BH228" s="15">
        <f t="shared" si="1103"/>
        <v>69000</v>
      </c>
      <c r="BJ228" s="15">
        <v>68988</v>
      </c>
      <c r="BK228" s="235">
        <f t="shared" si="1104"/>
        <v>0.99982608695652175</v>
      </c>
      <c r="BM228" s="15">
        <v>69000</v>
      </c>
      <c r="BN228" s="235">
        <f t="shared" si="1105"/>
        <v>1.0001739432944861</v>
      </c>
      <c r="BO228" s="235">
        <f t="shared" si="1106"/>
        <v>1</v>
      </c>
      <c r="BQ228" s="15"/>
      <c r="BR228" s="15">
        <f t="shared" si="1107"/>
        <v>69000</v>
      </c>
      <c r="BT228" s="15"/>
      <c r="BU228" s="15">
        <f>BR228+BT228</f>
        <v>69000</v>
      </c>
      <c r="BW228" s="15"/>
      <c r="BX228" s="15">
        <f>BU228+BW228</f>
        <v>69000</v>
      </c>
      <c r="BZ228" s="15"/>
      <c r="CA228" s="15">
        <f>BX228+BZ228</f>
        <v>69000</v>
      </c>
      <c r="CC228" s="15"/>
      <c r="CD228" s="15">
        <f>CA228+CC228</f>
        <v>69000</v>
      </c>
      <c r="CF228" s="15"/>
      <c r="CG228" s="15">
        <f>CD228+CF228</f>
        <v>69000</v>
      </c>
      <c r="CI228" s="15"/>
      <c r="CJ228" s="15">
        <f>CG228+CI228</f>
        <v>69000</v>
      </c>
      <c r="CM228" s="15">
        <f>CJ228+CL228</f>
        <v>69000</v>
      </c>
      <c r="CP228" s="15">
        <f>CM228+CO228</f>
        <v>69000</v>
      </c>
      <c r="CS228" s="15">
        <f>CP228+CR228</f>
        <v>69000</v>
      </c>
      <c r="CU228" s="227">
        <v>2000</v>
      </c>
      <c r="CV228" s="15">
        <f>CS228+CU228</f>
        <v>71000</v>
      </c>
      <c r="CX228" s="227"/>
      <c r="CY228" s="15">
        <f>CV228+CX228</f>
        <v>71000</v>
      </c>
      <c r="DA228" s="15">
        <v>70752</v>
      </c>
      <c r="DC228" s="15">
        <v>75000</v>
      </c>
      <c r="DE228" s="15"/>
      <c r="DF228" s="15">
        <f t="shared" si="1108"/>
        <v>75000</v>
      </c>
      <c r="DH228" s="15"/>
      <c r="DI228" s="15">
        <f t="shared" si="1109"/>
        <v>75000</v>
      </c>
      <c r="DK228" s="15"/>
      <c r="DL228" s="15">
        <f t="shared" si="1110"/>
        <v>75000</v>
      </c>
      <c r="DN228" s="15"/>
      <c r="DO228" s="15">
        <f t="shared" si="1111"/>
        <v>75000</v>
      </c>
      <c r="DQ228" s="15"/>
      <c r="DR228" s="15">
        <f t="shared" si="1112"/>
        <v>75000</v>
      </c>
      <c r="DT228" s="15"/>
      <c r="DU228" s="15">
        <f t="shared" si="1113"/>
        <v>75000</v>
      </c>
      <c r="DW228" s="15"/>
      <c r="DX228" s="15">
        <f t="shared" si="1114"/>
        <v>75000</v>
      </c>
      <c r="DZ228" s="15"/>
      <c r="EA228" s="15">
        <f t="shared" si="1115"/>
        <v>75000</v>
      </c>
      <c r="EC228" s="15"/>
      <c r="ED228" s="15">
        <f t="shared" si="1116"/>
        <v>75000</v>
      </c>
      <c r="EF228" s="227">
        <v>500</v>
      </c>
      <c r="EG228" s="15">
        <f t="shared" si="1117"/>
        <v>75500</v>
      </c>
      <c r="EI228" s="15">
        <v>75034</v>
      </c>
      <c r="EK228" s="15">
        <v>80000</v>
      </c>
      <c r="EM228" s="15"/>
      <c r="EN228" s="15">
        <f t="shared" si="1118"/>
        <v>80000</v>
      </c>
      <c r="EP228" s="15"/>
      <c r="EQ228" s="15">
        <f t="shared" si="1119"/>
        <v>80000</v>
      </c>
      <c r="ES228" s="15"/>
      <c r="ET228" s="15">
        <f t="shared" si="1120"/>
        <v>80000</v>
      </c>
      <c r="EW228" s="15">
        <f t="shared" si="1121"/>
        <v>80000</v>
      </c>
      <c r="EZ228" s="15">
        <f t="shared" si="1122"/>
        <v>80000</v>
      </c>
      <c r="FB228" s="227">
        <v>2000</v>
      </c>
      <c r="FC228" s="15">
        <f t="shared" si="1123"/>
        <v>82000</v>
      </c>
      <c r="FF228" s="15">
        <f t="shared" si="1124"/>
        <v>82000</v>
      </c>
      <c r="FI228" s="15">
        <f t="shared" si="1125"/>
        <v>82000</v>
      </c>
      <c r="FL228" s="15">
        <f t="shared" si="1126"/>
        <v>82000</v>
      </c>
      <c r="FO228" s="15">
        <f t="shared" si="1127"/>
        <v>82000</v>
      </c>
      <c r="FR228" s="15">
        <v>82000</v>
      </c>
      <c r="FT228" s="15">
        <v>81163</v>
      </c>
      <c r="FV228" s="15">
        <v>85000</v>
      </c>
      <c r="FW228" s="235">
        <f t="shared" si="989"/>
        <v>1.0472752362529725</v>
      </c>
    </row>
    <row r="229" spans="1:181" ht="15" customHeight="1" outlineLevel="1">
      <c r="A229" s="1" t="s">
        <v>215</v>
      </c>
      <c r="B229" s="4" t="s">
        <v>46</v>
      </c>
      <c r="C229" s="4" t="s">
        <v>218</v>
      </c>
      <c r="D229" s="43">
        <v>920000</v>
      </c>
      <c r="E229" s="34">
        <v>107.2</v>
      </c>
      <c r="F229" s="43">
        <v>1278000</v>
      </c>
      <c r="G229" s="34">
        <v>77.17</v>
      </c>
      <c r="H229" s="46">
        <v>986230</v>
      </c>
      <c r="I229" s="36"/>
      <c r="J229" s="14"/>
      <c r="Y229" s="118"/>
      <c r="AF229" s="182"/>
      <c r="AH229" s="15"/>
      <c r="AX229" s="15"/>
      <c r="BD229" s="15"/>
      <c r="BG229" s="15"/>
      <c r="BN229" s="235" t="e">
        <f t="shared" si="1105"/>
        <v>#DIV/0!</v>
      </c>
      <c r="BO229" s="235" t="e">
        <f t="shared" si="1106"/>
        <v>#DIV/0!</v>
      </c>
      <c r="DE229" s="15"/>
      <c r="DH229" s="15"/>
      <c r="DK229" s="15"/>
      <c r="DN229" s="15"/>
      <c r="DQ229" s="15"/>
      <c r="DT229" s="15"/>
      <c r="DW229" s="15"/>
      <c r="DZ229" s="15"/>
      <c r="EC229" s="15"/>
      <c r="EF229" s="15"/>
      <c r="EK229" s="15"/>
      <c r="EM229" s="15"/>
      <c r="EP229" s="15"/>
      <c r="ES229" s="15"/>
    </row>
    <row r="230" spans="1:181" ht="15" customHeight="1" thickBot="1">
      <c r="A230" s="54" t="s">
        <v>215</v>
      </c>
      <c r="B230" s="55" t="s">
        <v>316</v>
      </c>
      <c r="C230" s="283" t="s">
        <v>348</v>
      </c>
      <c r="D230" s="57">
        <f>SUM(D226:D228)</f>
        <v>920000</v>
      </c>
      <c r="E230" s="58"/>
      <c r="F230" s="57">
        <f>SUM(F226:F228)</f>
        <v>1278000</v>
      </c>
      <c r="G230" s="58"/>
      <c r="H230" s="57"/>
      <c r="I230" s="57">
        <f>SUM(I226:I228)</f>
        <v>1137268.3999999999</v>
      </c>
      <c r="J230" s="138" t="e">
        <f>I230/$I$332</f>
        <v>#REF!</v>
      </c>
      <c r="K230" s="60"/>
      <c r="L230" s="122">
        <f>SUM(L226:L228)</f>
        <v>962000.00000000012</v>
      </c>
      <c r="M230" s="61">
        <f>L230/F230-1</f>
        <v>-0.24726134585289505</v>
      </c>
      <c r="N230" s="61">
        <f>L230/I230-1</f>
        <v>-0.1541134880737034</v>
      </c>
      <c r="O230" s="17">
        <f>L230/$L$332</f>
        <v>0.22320186029144987</v>
      </c>
      <c r="P230" s="17"/>
      <c r="Q230" s="122">
        <f>SUM(Q226:Q228)</f>
        <v>962000</v>
      </c>
      <c r="R230" s="122">
        <f>SUM(R226:R228)</f>
        <v>483731</v>
      </c>
      <c r="S230" s="122">
        <f>SUM(S226:S228)</f>
        <v>973000</v>
      </c>
      <c r="T230" s="122">
        <f>SUM(T226:T228)</f>
        <v>11000</v>
      </c>
      <c r="U230" s="155">
        <f>S230/Q230-1</f>
        <v>1.1434511434511352E-2</v>
      </c>
      <c r="Y230" s="122">
        <f>SUM(Y226:Y228)</f>
        <v>973000</v>
      </c>
      <c r="AA230" s="122">
        <f>SUM(AA226:AA228)</f>
        <v>975400</v>
      </c>
      <c r="AB230" s="122">
        <f>SUM(AB226:AB228)</f>
        <v>2400</v>
      </c>
      <c r="AE230" s="122">
        <f>SUM(AE226:AE228)</f>
        <v>975500</v>
      </c>
      <c r="AF230" s="182"/>
      <c r="AH230" s="122">
        <f>SUM(AH226:AH228)</f>
        <v>973331</v>
      </c>
      <c r="AI230" s="17">
        <f t="shared" ref="AI230" si="1128">AH230/AE230</f>
        <v>0.99777652485904667</v>
      </c>
      <c r="AK230" s="122">
        <f>SUM(AK226:AK228)</f>
        <v>977000</v>
      </c>
      <c r="AL230" s="193">
        <f>AK230/L230</f>
        <v>1.0155925155925154</v>
      </c>
      <c r="AM230" s="17">
        <f>AK230/AE230</f>
        <v>1.0015376729882113</v>
      </c>
      <c r="AN230" s="17">
        <f>AK230/AH230</f>
        <v>1.0037695295844888</v>
      </c>
      <c r="AS230" s="122">
        <f>SUM(AS226:AS228)</f>
        <v>977000</v>
      </c>
      <c r="AU230" s="122">
        <f>SUM(AU226:AU228)</f>
        <v>0</v>
      </c>
      <c r="AV230" s="122">
        <f>SUM(AV226:AV228)</f>
        <v>977000</v>
      </c>
      <c r="AX230" s="122">
        <f>SUM(AX226:AX228)</f>
        <v>0</v>
      </c>
      <c r="AY230" s="122">
        <f>SUM(AY226:AY228)</f>
        <v>977000</v>
      </c>
      <c r="BA230" s="122">
        <f>SUM(BA226:BA228)</f>
        <v>0</v>
      </c>
      <c r="BB230" s="122">
        <f>SUM(BB226:BB228)</f>
        <v>977000</v>
      </c>
      <c r="BD230" s="122">
        <f>SUM(BD226:BD228)</f>
        <v>1000</v>
      </c>
      <c r="BE230" s="122">
        <f>SUM(BE226:BE228)</f>
        <v>978000</v>
      </c>
      <c r="BG230" s="122">
        <f>SUM(BG226:BG228)</f>
        <v>2000</v>
      </c>
      <c r="BH230" s="122">
        <f>SUM(BH226:BH228)</f>
        <v>980000</v>
      </c>
      <c r="BJ230" s="122">
        <f>SUM(BJ226:BJ228)</f>
        <v>979200</v>
      </c>
      <c r="BK230" s="236">
        <f t="shared" ref="BK230" si="1129">BJ230/BH230</f>
        <v>0.99918367346938775</v>
      </c>
      <c r="BM230" s="122">
        <f>SUM(BM226:BM228)</f>
        <v>980000</v>
      </c>
      <c r="BN230" s="236">
        <f t="shared" si="1105"/>
        <v>1.0008169934640523</v>
      </c>
      <c r="BO230" s="236">
        <f t="shared" si="1106"/>
        <v>1</v>
      </c>
      <c r="BQ230" s="122">
        <f>SUM(BQ226:BQ228)</f>
        <v>0</v>
      </c>
      <c r="BR230" s="122">
        <f>SUM(BR226:BR228)</f>
        <v>980000</v>
      </c>
      <c r="BT230" s="122">
        <f>SUM(BT226:BT228)</f>
        <v>0</v>
      </c>
      <c r="BU230" s="122">
        <f>SUM(BU226:BU228)</f>
        <v>980000</v>
      </c>
      <c r="BW230" s="122">
        <f>SUM(BW226:BW228)</f>
        <v>0</v>
      </c>
      <c r="BX230" s="122">
        <f>SUM(BX226:BX228)</f>
        <v>980000</v>
      </c>
      <c r="BZ230" s="122">
        <f>SUM(BZ226:BZ228)</f>
        <v>0</v>
      </c>
      <c r="CA230" s="122">
        <f>SUM(CA226:CA228)</f>
        <v>980000</v>
      </c>
      <c r="CC230" s="122">
        <f>SUM(CC226:CC228)</f>
        <v>0</v>
      </c>
      <c r="CD230" s="122">
        <f>SUM(CD226:CD228)</f>
        <v>980000</v>
      </c>
      <c r="CF230" s="122">
        <f>SUM(CF226:CF228)</f>
        <v>0</v>
      </c>
      <c r="CG230" s="122">
        <f>SUM(CG226:CG228)</f>
        <v>980000</v>
      </c>
      <c r="CI230" s="122">
        <f>SUM(CI226:CI228)</f>
        <v>0</v>
      </c>
      <c r="CJ230" s="122">
        <f>SUM(CJ226:CJ228)</f>
        <v>980000</v>
      </c>
      <c r="CL230" s="319">
        <f>SUM(CL226:CL228)</f>
        <v>0</v>
      </c>
      <c r="CM230" s="122">
        <f>SUM(CM226:CM228)</f>
        <v>980000</v>
      </c>
      <c r="CO230" s="122">
        <f>SUM(CO226:CO228)</f>
        <v>0</v>
      </c>
      <c r="CP230" s="122">
        <f>SUM(CP226:CP228)</f>
        <v>980000</v>
      </c>
      <c r="CR230" s="122">
        <f>SUM(CR226:CR228)</f>
        <v>0</v>
      </c>
      <c r="CS230" s="122">
        <f>SUM(CS226:CS228)</f>
        <v>980000</v>
      </c>
      <c r="CU230" s="122">
        <f>SUM(CU226:CU228)</f>
        <v>27000</v>
      </c>
      <c r="CV230" s="122">
        <f>SUM(CV226:CV228)</f>
        <v>1007000</v>
      </c>
      <c r="CX230" s="122">
        <f>SUM(CX226:CX228)</f>
        <v>0</v>
      </c>
      <c r="CY230" s="122">
        <f>SUM(CY226:CY228)</f>
        <v>1007000</v>
      </c>
      <c r="DA230" s="122">
        <f>SUM(DA226:DA228)</f>
        <v>1005785</v>
      </c>
      <c r="DC230" s="122">
        <f>SUM(DC226:DC228)</f>
        <v>1045000</v>
      </c>
      <c r="DE230" s="122">
        <f>SUM(DE226:DE228)</f>
        <v>0</v>
      </c>
      <c r="DF230" s="122">
        <f>SUM(DF226:DF228)</f>
        <v>1045000</v>
      </c>
      <c r="DH230" s="122">
        <f>SUM(DH226:DH228)</f>
        <v>0</v>
      </c>
      <c r="DI230" s="122">
        <f>SUM(DI226:DI228)</f>
        <v>1045000</v>
      </c>
      <c r="DK230" s="122">
        <f>SUM(DK226:DK228)</f>
        <v>0</v>
      </c>
      <c r="DL230" s="122">
        <f>SUM(DL226:DL228)</f>
        <v>1045000</v>
      </c>
      <c r="DN230" s="122">
        <f>SUM(DN226:DN228)</f>
        <v>0</v>
      </c>
      <c r="DO230" s="122">
        <f>SUM(DO226:DO228)</f>
        <v>1045000</v>
      </c>
      <c r="DQ230" s="122">
        <f>SUM(DQ226:DQ228)</f>
        <v>0</v>
      </c>
      <c r="DR230" s="122">
        <f>SUM(DR226:DR228)</f>
        <v>1045000</v>
      </c>
      <c r="DT230" s="122">
        <f>SUM(DT226:DT228)</f>
        <v>0</v>
      </c>
      <c r="DU230" s="122">
        <f>SUM(DU226:DU228)</f>
        <v>1045000</v>
      </c>
      <c r="DW230" s="122">
        <f>SUM(DW226:DW228)</f>
        <v>0</v>
      </c>
      <c r="DX230" s="122">
        <f>SUM(DX226:DX228)</f>
        <v>1045000</v>
      </c>
      <c r="DZ230" s="122">
        <f>SUM(DZ226:DZ228)</f>
        <v>0</v>
      </c>
      <c r="EA230" s="122">
        <f>SUM(EA226:EA228)</f>
        <v>1045000</v>
      </c>
      <c r="EC230" s="122">
        <f>SUM(EC226:EC228)</f>
        <v>0</v>
      </c>
      <c r="ED230" s="122">
        <f>SUM(ED226:ED228)</f>
        <v>1045000</v>
      </c>
      <c r="EF230" s="122">
        <f>SUM(EF226:EF228)</f>
        <v>2500</v>
      </c>
      <c r="EG230" s="122">
        <f>SUM(EG226:EG228)</f>
        <v>1047500</v>
      </c>
      <c r="EI230" s="122">
        <f>SUM(EI226:EI228)</f>
        <v>1046377</v>
      </c>
      <c r="EK230" s="122">
        <f>SUM(EK226:EK228)</f>
        <v>1136500</v>
      </c>
      <c r="EM230" s="122">
        <f>SUM(EM226:EM228)</f>
        <v>0</v>
      </c>
      <c r="EN230" s="122">
        <f>SUM(EN226:EN228)</f>
        <v>1136500</v>
      </c>
      <c r="EP230" s="122">
        <f>SUM(EP226:EP228)</f>
        <v>0</v>
      </c>
      <c r="EQ230" s="122">
        <f>SUM(EQ226:EQ228)</f>
        <v>1136500</v>
      </c>
      <c r="ES230" s="122">
        <f>SUM(ES226:ES228)</f>
        <v>0</v>
      </c>
      <c r="ET230" s="122">
        <f>SUM(ET226:ET228)</f>
        <v>1136500</v>
      </c>
      <c r="EV230" s="122">
        <f>SUM(EV226:EV228)</f>
        <v>0</v>
      </c>
      <c r="EW230" s="122">
        <f>SUM(EW226:EW228)</f>
        <v>1136500</v>
      </c>
      <c r="EY230" s="122">
        <f>SUM(EY226:EY228)</f>
        <v>0</v>
      </c>
      <c r="EZ230" s="122">
        <f>SUM(EZ226:EZ228)</f>
        <v>1136500</v>
      </c>
      <c r="FB230" s="122">
        <f>SUM(FB226:FB228)</f>
        <v>22000</v>
      </c>
      <c r="FC230" s="122">
        <f>SUM(FC226:FC228)</f>
        <v>1158500</v>
      </c>
      <c r="FE230" s="122">
        <f>SUM(FE226:FE228)</f>
        <v>0</v>
      </c>
      <c r="FF230" s="122">
        <f>SUM(FF226:FF228)</f>
        <v>1158500</v>
      </c>
      <c r="FH230" s="122">
        <f>SUM(FH226:FH228)</f>
        <v>0</v>
      </c>
      <c r="FI230" s="122">
        <f>SUM(FI226:FI228)</f>
        <v>1158500</v>
      </c>
      <c r="FK230" s="122">
        <f>SUM(FK226:FK228)</f>
        <v>4200</v>
      </c>
      <c r="FL230" s="122">
        <f>SUM(FL226:FL228)</f>
        <v>1162700</v>
      </c>
      <c r="FN230" s="122">
        <f>SUM(FN226:FN228)</f>
        <v>0</v>
      </c>
      <c r="FO230" s="122">
        <f>SUM(FO226:FO228)</f>
        <v>1162700</v>
      </c>
      <c r="FQ230" s="122">
        <v>0</v>
      </c>
      <c r="FR230" s="122">
        <v>1162700</v>
      </c>
      <c r="FT230" s="122">
        <f>SUM(FT226:FT228)</f>
        <v>1156823</v>
      </c>
      <c r="FV230" s="122">
        <f>SUM(FV226:FV228)</f>
        <v>1200400</v>
      </c>
    </row>
    <row r="231" spans="1:181" s="395" customFormat="1" ht="15.75" outlineLevel="1" thickTop="1">
      <c r="A231" s="389" t="s">
        <v>456</v>
      </c>
      <c r="B231" s="390" t="s">
        <v>142</v>
      </c>
      <c r="C231" s="391" t="s">
        <v>143</v>
      </c>
      <c r="D231" s="392"/>
      <c r="E231" s="393"/>
      <c r="F231" s="392"/>
      <c r="G231" s="393"/>
      <c r="H231" s="392"/>
      <c r="I231" s="392"/>
      <c r="J231" s="394"/>
      <c r="L231" s="396"/>
      <c r="M231" s="39"/>
      <c r="N231" s="39"/>
      <c r="O231" s="457"/>
      <c r="P231" s="151"/>
      <c r="Q231" s="154"/>
      <c r="R231" s="15"/>
      <c r="S231" s="118"/>
      <c r="T231" s="15"/>
      <c r="U231" s="15"/>
      <c r="V231" s="140"/>
      <c r="W231"/>
      <c r="X231"/>
      <c r="Y231"/>
      <c r="Z231"/>
      <c r="AA231" s="118"/>
      <c r="AB231" s="118"/>
      <c r="AC231" s="188"/>
      <c r="AD231" s="188"/>
      <c r="AE231" s="396"/>
      <c r="AF231" s="398"/>
      <c r="AH231" s="399"/>
      <c r="AK231" s="396">
        <v>20000</v>
      </c>
      <c r="AL231" s="15"/>
      <c r="AM231"/>
      <c r="AN231"/>
      <c r="AO231"/>
      <c r="AP231" s="220"/>
      <c r="AQ231"/>
      <c r="AR231"/>
      <c r="AS231" s="15">
        <f t="shared" ref="AS231:AS237" si="1130">AR231+AK231</f>
        <v>20000</v>
      </c>
      <c r="AT231"/>
      <c r="AU231" s="15"/>
      <c r="AV231" s="15">
        <f t="shared" ref="AV231:AV237" si="1131">AS231+AU231</f>
        <v>20000</v>
      </c>
      <c r="AW231"/>
      <c r="AX231" s="15"/>
      <c r="AY231" s="15">
        <f t="shared" ref="AY231:AY237" si="1132">AV231+AX231</f>
        <v>20000</v>
      </c>
      <c r="AZ231"/>
      <c r="BA231" s="15"/>
      <c r="BB231" s="15">
        <f t="shared" ref="BB231:BB237" si="1133">AY231+BA231</f>
        <v>20000</v>
      </c>
      <c r="BC231"/>
      <c r="BD231" s="15">
        <v>4600</v>
      </c>
      <c r="BE231" s="15">
        <f t="shared" ref="BE231:BE237" si="1134">BB231+BD231</f>
        <v>24600</v>
      </c>
      <c r="BG231" s="399"/>
      <c r="BH231" s="399">
        <f t="shared" ref="BH231:BH237" si="1135">BE231+BG231</f>
        <v>24600</v>
      </c>
      <c r="BJ231" s="399">
        <v>14299</v>
      </c>
      <c r="BK231" s="400">
        <f t="shared" ref="BK231:BK237" si="1136">BJ231/BH231</f>
        <v>0.58126016260162605</v>
      </c>
      <c r="BL231" s="401"/>
      <c r="BM231" s="399"/>
      <c r="BN231" s="401"/>
      <c r="BO231" s="401"/>
      <c r="BQ231" s="15"/>
      <c r="BR231" s="15"/>
      <c r="BS231"/>
      <c r="BT231" s="15"/>
      <c r="BU231" s="15"/>
      <c r="BV231"/>
      <c r="BW231" s="15"/>
      <c r="BX231" s="15"/>
      <c r="BY231"/>
      <c r="BZ231" s="15"/>
      <c r="CA231" s="15"/>
      <c r="CB231"/>
      <c r="CC231" s="15"/>
      <c r="CD231" s="15"/>
      <c r="CE231"/>
      <c r="CF231" s="15"/>
      <c r="CG231" s="15"/>
      <c r="CH231"/>
      <c r="CI231" s="15"/>
      <c r="CJ231" s="15"/>
      <c r="CK231"/>
      <c r="CL231" s="15"/>
      <c r="CM231" s="15"/>
      <c r="CN231"/>
      <c r="CO231" s="15"/>
      <c r="CP231" s="15"/>
      <c r="CR231" s="15"/>
      <c r="CS231" s="15"/>
      <c r="CT231"/>
      <c r="CU231" s="15"/>
      <c r="CV231" s="15"/>
      <c r="CW231"/>
      <c r="CX231" s="399"/>
      <c r="CY231" s="399"/>
      <c r="DA231" s="399"/>
      <c r="DC231" s="399"/>
      <c r="DE231" s="15"/>
      <c r="DF231" s="15">
        <f t="shared" ref="DF231:DF237" si="1137">DC231+DE231</f>
        <v>0</v>
      </c>
      <c r="DG231"/>
      <c r="DH231" s="15"/>
      <c r="DI231" s="15">
        <f t="shared" ref="DI231:DI237" si="1138">DF231+DH231</f>
        <v>0</v>
      </c>
      <c r="DJ231"/>
      <c r="DK231" s="15"/>
      <c r="DL231" s="15">
        <f t="shared" ref="DL231:DL237" si="1139">DI231+DK231</f>
        <v>0</v>
      </c>
      <c r="DM231"/>
      <c r="DN231" s="15"/>
      <c r="DO231" s="15">
        <f t="shared" ref="DO231:DO237" si="1140">DL231+DN231</f>
        <v>0</v>
      </c>
      <c r="DP231"/>
      <c r="DQ231" s="15"/>
      <c r="DR231" s="15">
        <f t="shared" ref="DR231:DR237" si="1141">DO231+DQ231</f>
        <v>0</v>
      </c>
      <c r="DS231"/>
      <c r="DT231" s="15"/>
      <c r="DU231" s="15">
        <f t="shared" ref="DU231:DU237" si="1142">DR231+DT231</f>
        <v>0</v>
      </c>
      <c r="DV231"/>
      <c r="DW231" s="15"/>
      <c r="DX231" s="15">
        <f t="shared" ref="DX231:DX237" si="1143">DU231+DW231</f>
        <v>0</v>
      </c>
      <c r="DY231"/>
      <c r="DZ231" s="15"/>
      <c r="EA231" s="15">
        <f t="shared" ref="EA231:EA237" si="1144">DX231+DZ231</f>
        <v>0</v>
      </c>
      <c r="EB231"/>
      <c r="EC231" s="15"/>
      <c r="ED231" s="15">
        <f t="shared" ref="ED231:ED237" si="1145">EA231+EC231</f>
        <v>0</v>
      </c>
      <c r="EF231" s="399"/>
      <c r="EG231" s="399">
        <f t="shared" ref="EG231:EG237" si="1146">ED231+EF231</f>
        <v>0</v>
      </c>
      <c r="EI231" s="399"/>
      <c r="EK231" s="399">
        <v>20000</v>
      </c>
      <c r="EM231" s="399"/>
      <c r="EN231" s="399">
        <f t="shared" ref="EN231:EN237" si="1147">EK231+EM231</f>
        <v>20000</v>
      </c>
      <c r="EP231" s="399"/>
      <c r="EQ231" s="399">
        <f t="shared" ref="EQ231:EQ237" si="1148">EN231+EP231</f>
        <v>20000</v>
      </c>
      <c r="ES231" s="399"/>
      <c r="ET231" s="399">
        <f t="shared" ref="ET231:ET237" si="1149">EQ231+ES231</f>
        <v>20000</v>
      </c>
      <c r="EV231" s="399"/>
      <c r="EW231" s="399">
        <f t="shared" ref="EW231:EW237" si="1150">ET231+EV231</f>
        <v>20000</v>
      </c>
      <c r="EY231" s="399"/>
      <c r="EZ231" s="399">
        <f t="shared" ref="EZ231:EZ237" si="1151">EW231+EY231</f>
        <v>20000</v>
      </c>
      <c r="FB231" s="399"/>
      <c r="FC231" s="399">
        <f t="shared" ref="FC231:FC237" si="1152">EZ231+FB231</f>
        <v>20000</v>
      </c>
      <c r="FE231" s="399"/>
      <c r="FF231" s="399">
        <f t="shared" ref="FF231:FF237" si="1153">FC231+FE231</f>
        <v>20000</v>
      </c>
      <c r="FH231" s="399"/>
      <c r="FI231" s="399">
        <f t="shared" ref="FI231:FI237" si="1154">FF231+FH231</f>
        <v>20000</v>
      </c>
      <c r="FK231" s="227">
        <v>-20000</v>
      </c>
      <c r="FL231" s="399">
        <f t="shared" ref="FL231:FL237" si="1155">FI231+FK231</f>
        <v>0</v>
      </c>
      <c r="FO231" s="399">
        <f t="shared" ref="FO231:FO237" si="1156">FL231+FN231</f>
        <v>0</v>
      </c>
      <c r="FR231" s="399">
        <v>0</v>
      </c>
      <c r="FT231" s="399"/>
      <c r="FV231" s="399">
        <v>20000</v>
      </c>
      <c r="FW231" s="235" t="e">
        <f t="shared" ref="FW231" si="1157">FV231/FT231</f>
        <v>#DIV/0!</v>
      </c>
      <c r="FY231" s="399"/>
    </row>
    <row r="232" spans="1:181" s="395" customFormat="1" outlineLevel="1">
      <c r="A232" s="389" t="s">
        <v>456</v>
      </c>
      <c r="B232" s="390" t="s">
        <v>189</v>
      </c>
      <c r="C232" s="391" t="s">
        <v>190</v>
      </c>
      <c r="D232" s="392"/>
      <c r="E232" s="393"/>
      <c r="F232" s="392"/>
      <c r="G232" s="393"/>
      <c r="H232" s="392"/>
      <c r="I232" s="392"/>
      <c r="J232" s="394"/>
      <c r="L232" s="396"/>
      <c r="M232" s="39"/>
      <c r="N232" s="39"/>
      <c r="O232" s="457"/>
      <c r="P232" s="151"/>
      <c r="Q232" s="154"/>
      <c r="R232" s="15"/>
      <c r="S232" s="118"/>
      <c r="T232" s="15"/>
      <c r="U232" s="15"/>
      <c r="V232" s="140"/>
      <c r="W232"/>
      <c r="X232"/>
      <c r="Y232"/>
      <c r="Z232"/>
      <c r="AA232" s="118"/>
      <c r="AB232" s="118"/>
      <c r="AC232" s="188"/>
      <c r="AD232" s="188"/>
      <c r="AE232" s="396"/>
      <c r="AF232" s="398"/>
      <c r="AH232" s="399"/>
      <c r="AK232" s="396">
        <v>1000</v>
      </c>
      <c r="AL232" s="15"/>
      <c r="AM232"/>
      <c r="AN232"/>
      <c r="AO232"/>
      <c r="AP232" s="220"/>
      <c r="AQ232"/>
      <c r="AR232"/>
      <c r="AS232" s="15">
        <f t="shared" si="1130"/>
        <v>1000</v>
      </c>
      <c r="AT232"/>
      <c r="AU232" s="15"/>
      <c r="AV232" s="15">
        <f t="shared" si="1131"/>
        <v>1000</v>
      </c>
      <c r="AW232"/>
      <c r="AX232" s="15"/>
      <c r="AY232" s="15">
        <f t="shared" si="1132"/>
        <v>1000</v>
      </c>
      <c r="AZ232"/>
      <c r="BA232" s="15"/>
      <c r="BB232" s="15">
        <f t="shared" si="1133"/>
        <v>1000</v>
      </c>
      <c r="BC232"/>
      <c r="BD232" s="15"/>
      <c r="BE232" s="15">
        <f t="shared" si="1134"/>
        <v>1000</v>
      </c>
      <c r="BG232" s="399"/>
      <c r="BH232" s="399">
        <f t="shared" si="1135"/>
        <v>1000</v>
      </c>
      <c r="BJ232" s="399">
        <v>525</v>
      </c>
      <c r="BK232" s="400">
        <f t="shared" si="1136"/>
        <v>0.52500000000000002</v>
      </c>
      <c r="BL232" s="401"/>
      <c r="BM232" s="399"/>
      <c r="BN232" s="401"/>
      <c r="BO232" s="401"/>
      <c r="BQ232" s="15"/>
      <c r="BR232" s="15"/>
      <c r="BS232"/>
      <c r="BT232" s="15"/>
      <c r="BU232" s="15"/>
      <c r="BV232"/>
      <c r="BW232" s="15"/>
      <c r="BX232" s="15"/>
      <c r="BY232"/>
      <c r="BZ232" s="15"/>
      <c r="CA232" s="15"/>
      <c r="CB232"/>
      <c r="CC232" s="15"/>
      <c r="CD232" s="15"/>
      <c r="CE232"/>
      <c r="CF232" s="15"/>
      <c r="CG232" s="15"/>
      <c r="CH232"/>
      <c r="CI232" s="15"/>
      <c r="CJ232" s="15"/>
      <c r="CK232"/>
      <c r="CL232" s="15"/>
      <c r="CM232" s="15"/>
      <c r="CN232"/>
      <c r="CO232" s="15"/>
      <c r="CP232" s="15"/>
      <c r="CR232" s="15"/>
      <c r="CS232" s="15"/>
      <c r="CT232"/>
      <c r="CU232" s="15"/>
      <c r="CV232" s="15"/>
      <c r="CW232"/>
      <c r="CX232" s="399"/>
      <c r="CY232" s="399"/>
      <c r="DA232" s="399"/>
      <c r="DC232" s="399"/>
      <c r="DE232" s="15"/>
      <c r="DF232" s="15">
        <f t="shared" si="1137"/>
        <v>0</v>
      </c>
      <c r="DG232"/>
      <c r="DH232" s="15"/>
      <c r="DI232" s="15">
        <f t="shared" si="1138"/>
        <v>0</v>
      </c>
      <c r="DJ232"/>
      <c r="DK232" s="15"/>
      <c r="DL232" s="15">
        <f t="shared" si="1139"/>
        <v>0</v>
      </c>
      <c r="DM232"/>
      <c r="DN232" s="15"/>
      <c r="DO232" s="15">
        <f t="shared" si="1140"/>
        <v>0</v>
      </c>
      <c r="DP232"/>
      <c r="DQ232" s="15"/>
      <c r="DR232" s="15">
        <f t="shared" si="1141"/>
        <v>0</v>
      </c>
      <c r="DS232"/>
      <c r="DT232" s="15"/>
      <c r="DU232" s="15">
        <f t="shared" si="1142"/>
        <v>0</v>
      </c>
      <c r="DV232"/>
      <c r="DW232" s="15"/>
      <c r="DX232" s="15">
        <f t="shared" si="1143"/>
        <v>0</v>
      </c>
      <c r="DY232"/>
      <c r="DZ232" s="15"/>
      <c r="EA232" s="15">
        <f t="shared" si="1144"/>
        <v>0</v>
      </c>
      <c r="EB232"/>
      <c r="EC232" s="15"/>
      <c r="ED232" s="15">
        <f t="shared" si="1145"/>
        <v>0</v>
      </c>
      <c r="EF232" s="399"/>
      <c r="EG232" s="399">
        <f t="shared" si="1146"/>
        <v>0</v>
      </c>
      <c r="EI232" s="399"/>
      <c r="EK232" s="399"/>
      <c r="EM232" s="399"/>
      <c r="EN232" s="399">
        <f t="shared" si="1147"/>
        <v>0</v>
      </c>
      <c r="EP232" s="399"/>
      <c r="EQ232" s="399">
        <f t="shared" si="1148"/>
        <v>0</v>
      </c>
      <c r="ES232" s="399"/>
      <c r="ET232" s="399">
        <f t="shared" si="1149"/>
        <v>0</v>
      </c>
      <c r="EV232" s="399"/>
      <c r="EW232" s="399">
        <f t="shared" si="1150"/>
        <v>0</v>
      </c>
      <c r="EY232" s="399"/>
      <c r="EZ232" s="399">
        <f t="shared" si="1151"/>
        <v>0</v>
      </c>
      <c r="FB232" s="399"/>
      <c r="FC232" s="399">
        <f t="shared" si="1152"/>
        <v>0</v>
      </c>
      <c r="FE232" s="399"/>
      <c r="FF232" s="399">
        <f t="shared" si="1153"/>
        <v>0</v>
      </c>
      <c r="FH232" s="399"/>
      <c r="FI232" s="399">
        <f t="shared" si="1154"/>
        <v>0</v>
      </c>
      <c r="FK232" s="399"/>
      <c r="FL232" s="399">
        <f t="shared" si="1155"/>
        <v>0</v>
      </c>
      <c r="FO232" s="399">
        <f t="shared" si="1156"/>
        <v>0</v>
      </c>
      <c r="FR232" s="399">
        <v>0</v>
      </c>
      <c r="FT232" s="399"/>
      <c r="FV232" s="399"/>
      <c r="FY232" s="399"/>
    </row>
    <row r="233" spans="1:181" s="395" customFormat="1" outlineLevel="1">
      <c r="A233" s="389" t="s">
        <v>456</v>
      </c>
      <c r="B233" s="390" t="s">
        <v>225</v>
      </c>
      <c r="C233" s="391" t="s">
        <v>226</v>
      </c>
      <c r="D233" s="392"/>
      <c r="E233" s="393"/>
      <c r="F233" s="392"/>
      <c r="G233" s="393"/>
      <c r="H233" s="392"/>
      <c r="I233" s="392"/>
      <c r="J233" s="394"/>
      <c r="L233" s="396"/>
      <c r="M233" s="39"/>
      <c r="N233" s="39"/>
      <c r="O233" s="457"/>
      <c r="P233" s="151"/>
      <c r="Q233" s="154"/>
      <c r="R233" s="15"/>
      <c r="S233" s="118"/>
      <c r="T233" s="15"/>
      <c r="U233" s="15"/>
      <c r="V233" s="140"/>
      <c r="W233"/>
      <c r="X233"/>
      <c r="Y233"/>
      <c r="Z233"/>
      <c r="AA233" s="118"/>
      <c r="AB233" s="118"/>
      <c r="AC233" s="188"/>
      <c r="AD233" s="188"/>
      <c r="AE233" s="396"/>
      <c r="AF233" s="398"/>
      <c r="AH233" s="399"/>
      <c r="AK233" s="396">
        <v>1000</v>
      </c>
      <c r="AL233" s="15"/>
      <c r="AM233"/>
      <c r="AN233"/>
      <c r="AO233"/>
      <c r="AP233" s="220"/>
      <c r="AQ233"/>
      <c r="AR233"/>
      <c r="AS233" s="15">
        <f t="shared" si="1130"/>
        <v>1000</v>
      </c>
      <c r="AT233"/>
      <c r="AU233" s="15"/>
      <c r="AV233" s="15">
        <f t="shared" si="1131"/>
        <v>1000</v>
      </c>
      <c r="AW233"/>
      <c r="AX233" s="15"/>
      <c r="AY233" s="15">
        <f t="shared" si="1132"/>
        <v>1000</v>
      </c>
      <c r="AZ233"/>
      <c r="BA233" s="15"/>
      <c r="BB233" s="15">
        <f t="shared" si="1133"/>
        <v>1000</v>
      </c>
      <c r="BC233"/>
      <c r="BD233" s="15"/>
      <c r="BE233" s="15">
        <f t="shared" si="1134"/>
        <v>1000</v>
      </c>
      <c r="BG233" s="399"/>
      <c r="BH233" s="399">
        <f t="shared" si="1135"/>
        <v>1000</v>
      </c>
      <c r="BJ233" s="399">
        <v>408</v>
      </c>
      <c r="BK233" s="400">
        <f t="shared" si="1136"/>
        <v>0.40799999999999997</v>
      </c>
      <c r="BL233" s="401"/>
      <c r="BM233" s="399"/>
      <c r="BN233" s="401"/>
      <c r="BO233" s="401"/>
      <c r="BQ233" s="15"/>
      <c r="BR233" s="15"/>
      <c r="BS233"/>
      <c r="BT233" s="15"/>
      <c r="BU233" s="15"/>
      <c r="BV233"/>
      <c r="BW233" s="15"/>
      <c r="BX233" s="15"/>
      <c r="BY233"/>
      <c r="BZ233" s="15"/>
      <c r="CA233" s="15"/>
      <c r="CB233"/>
      <c r="CC233" s="15"/>
      <c r="CD233" s="15"/>
      <c r="CE233"/>
      <c r="CF233" s="15"/>
      <c r="CG233" s="15"/>
      <c r="CH233"/>
      <c r="CI233" s="15"/>
      <c r="CJ233" s="15"/>
      <c r="CK233"/>
      <c r="CL233" s="15"/>
      <c r="CM233" s="15"/>
      <c r="CN233"/>
      <c r="CO233" s="15"/>
      <c r="CP233" s="15"/>
      <c r="CR233" s="15"/>
      <c r="CS233" s="15"/>
      <c r="CT233"/>
      <c r="CU233" s="15"/>
      <c r="CV233" s="15"/>
      <c r="CW233"/>
      <c r="CX233" s="399"/>
      <c r="CY233" s="399"/>
      <c r="DA233" s="399"/>
      <c r="DC233" s="399"/>
      <c r="DE233" s="15"/>
      <c r="DF233" s="15">
        <f t="shared" si="1137"/>
        <v>0</v>
      </c>
      <c r="DG233"/>
      <c r="DH233" s="15"/>
      <c r="DI233" s="15">
        <f t="shared" si="1138"/>
        <v>0</v>
      </c>
      <c r="DJ233"/>
      <c r="DK233" s="15"/>
      <c r="DL233" s="15">
        <f t="shared" si="1139"/>
        <v>0</v>
      </c>
      <c r="DM233"/>
      <c r="DN233" s="15"/>
      <c r="DO233" s="15">
        <f t="shared" si="1140"/>
        <v>0</v>
      </c>
      <c r="DP233"/>
      <c r="DQ233" s="15"/>
      <c r="DR233" s="15">
        <f t="shared" si="1141"/>
        <v>0</v>
      </c>
      <c r="DS233"/>
      <c r="DT233" s="15"/>
      <c r="DU233" s="15">
        <f t="shared" si="1142"/>
        <v>0</v>
      </c>
      <c r="DV233"/>
      <c r="DW233" s="15"/>
      <c r="DX233" s="15">
        <f t="shared" si="1143"/>
        <v>0</v>
      </c>
      <c r="DY233"/>
      <c r="DZ233" s="15"/>
      <c r="EA233" s="15">
        <f t="shared" si="1144"/>
        <v>0</v>
      </c>
      <c r="EB233"/>
      <c r="EC233" s="15"/>
      <c r="ED233" s="15">
        <f t="shared" si="1145"/>
        <v>0</v>
      </c>
      <c r="EF233" s="399"/>
      <c r="EG233" s="399">
        <f t="shared" si="1146"/>
        <v>0</v>
      </c>
      <c r="EI233" s="399"/>
      <c r="EK233" s="399"/>
      <c r="EM233" s="399"/>
      <c r="EN233" s="399">
        <f t="shared" si="1147"/>
        <v>0</v>
      </c>
      <c r="EP233" s="399"/>
      <c r="EQ233" s="399">
        <f t="shared" si="1148"/>
        <v>0</v>
      </c>
      <c r="ES233" s="399"/>
      <c r="ET233" s="399">
        <f t="shared" si="1149"/>
        <v>0</v>
      </c>
      <c r="EV233" s="399"/>
      <c r="EW233" s="399">
        <f t="shared" si="1150"/>
        <v>0</v>
      </c>
      <c r="EY233" s="399"/>
      <c r="EZ233" s="399">
        <f t="shared" si="1151"/>
        <v>0</v>
      </c>
      <c r="FB233" s="399"/>
      <c r="FC233" s="399">
        <f t="shared" si="1152"/>
        <v>0</v>
      </c>
      <c r="FE233" s="399"/>
      <c r="FF233" s="399">
        <f t="shared" si="1153"/>
        <v>0</v>
      </c>
      <c r="FH233" s="399"/>
      <c r="FI233" s="399">
        <f t="shared" si="1154"/>
        <v>0</v>
      </c>
      <c r="FK233" s="399"/>
      <c r="FL233" s="399">
        <f t="shared" si="1155"/>
        <v>0</v>
      </c>
      <c r="FO233" s="399">
        <f t="shared" si="1156"/>
        <v>0</v>
      </c>
      <c r="FR233" s="399">
        <v>0</v>
      </c>
      <c r="FT233" s="399"/>
      <c r="FV233" s="399"/>
      <c r="FY233" s="399"/>
    </row>
    <row r="234" spans="1:181" s="395" customFormat="1" outlineLevel="1">
      <c r="A234" s="389" t="s">
        <v>456</v>
      </c>
      <c r="B234" s="390" t="s">
        <v>146</v>
      </c>
      <c r="C234" s="391" t="s">
        <v>147</v>
      </c>
      <c r="D234" s="392"/>
      <c r="E234" s="393"/>
      <c r="F234" s="392"/>
      <c r="G234" s="393"/>
      <c r="H234" s="392"/>
      <c r="I234" s="392"/>
      <c r="J234" s="394"/>
      <c r="L234" s="396"/>
      <c r="M234" s="39"/>
      <c r="N234" s="39"/>
      <c r="O234" s="457"/>
      <c r="P234" s="151"/>
      <c r="Q234" s="154"/>
      <c r="R234" s="15"/>
      <c r="S234" s="118"/>
      <c r="T234" s="15"/>
      <c r="U234" s="15"/>
      <c r="V234" s="140"/>
      <c r="W234"/>
      <c r="X234"/>
      <c r="Y234"/>
      <c r="Z234"/>
      <c r="AA234" s="118"/>
      <c r="AB234" s="118"/>
      <c r="AC234" s="188"/>
      <c r="AD234" s="188"/>
      <c r="AE234" s="396"/>
      <c r="AF234" s="398"/>
      <c r="AH234" s="399"/>
      <c r="AK234" s="396">
        <v>1200</v>
      </c>
      <c r="AL234" s="15"/>
      <c r="AM234"/>
      <c r="AN234"/>
      <c r="AO234"/>
      <c r="AP234" s="220"/>
      <c r="AQ234"/>
      <c r="AR234"/>
      <c r="AS234" s="15">
        <f t="shared" si="1130"/>
        <v>1200</v>
      </c>
      <c r="AT234"/>
      <c r="AU234" s="15"/>
      <c r="AV234" s="15">
        <f t="shared" si="1131"/>
        <v>1200</v>
      </c>
      <c r="AW234"/>
      <c r="AX234" s="15"/>
      <c r="AY234" s="15">
        <f t="shared" si="1132"/>
        <v>1200</v>
      </c>
      <c r="AZ234"/>
      <c r="BA234" s="15"/>
      <c r="BB234" s="15">
        <f t="shared" si="1133"/>
        <v>1200</v>
      </c>
      <c r="BC234"/>
      <c r="BD234" s="15"/>
      <c r="BE234" s="15">
        <f t="shared" si="1134"/>
        <v>1200</v>
      </c>
      <c r="BG234" s="399"/>
      <c r="BH234" s="399">
        <f t="shared" si="1135"/>
        <v>1200</v>
      </c>
      <c r="BJ234" s="399">
        <v>0</v>
      </c>
      <c r="BK234" s="400">
        <f t="shared" si="1136"/>
        <v>0</v>
      </c>
      <c r="BL234" s="401"/>
      <c r="BM234" s="399"/>
      <c r="BN234" s="401"/>
      <c r="BO234" s="401"/>
      <c r="BQ234" s="15"/>
      <c r="BR234" s="15"/>
      <c r="BS234"/>
      <c r="BT234" s="15"/>
      <c r="BU234" s="15"/>
      <c r="BV234"/>
      <c r="BW234" s="15"/>
      <c r="BX234" s="15"/>
      <c r="BY234"/>
      <c r="BZ234" s="15"/>
      <c r="CA234" s="15"/>
      <c r="CB234"/>
      <c r="CC234" s="15"/>
      <c r="CD234" s="15"/>
      <c r="CE234"/>
      <c r="CF234" s="15"/>
      <c r="CG234" s="15"/>
      <c r="CH234"/>
      <c r="CI234" s="15"/>
      <c r="CJ234" s="15"/>
      <c r="CK234"/>
      <c r="CL234" s="15"/>
      <c r="CM234" s="15"/>
      <c r="CN234"/>
      <c r="CO234" s="15"/>
      <c r="CP234" s="15"/>
      <c r="CR234" s="15"/>
      <c r="CS234" s="15"/>
      <c r="CT234"/>
      <c r="CU234" s="15"/>
      <c r="CV234" s="15"/>
      <c r="CW234"/>
      <c r="CX234" s="399"/>
      <c r="CY234" s="399"/>
      <c r="DA234" s="399"/>
      <c r="DC234" s="399"/>
      <c r="DE234" s="15"/>
      <c r="DF234" s="15">
        <f t="shared" si="1137"/>
        <v>0</v>
      </c>
      <c r="DG234"/>
      <c r="DH234" s="15"/>
      <c r="DI234" s="15">
        <f t="shared" si="1138"/>
        <v>0</v>
      </c>
      <c r="DJ234"/>
      <c r="DK234" s="15"/>
      <c r="DL234" s="15">
        <f t="shared" si="1139"/>
        <v>0</v>
      </c>
      <c r="DM234"/>
      <c r="DN234" s="15"/>
      <c r="DO234" s="15">
        <f t="shared" si="1140"/>
        <v>0</v>
      </c>
      <c r="DP234"/>
      <c r="DQ234" s="15"/>
      <c r="DR234" s="15">
        <f t="shared" si="1141"/>
        <v>0</v>
      </c>
      <c r="DS234"/>
      <c r="DT234" s="15"/>
      <c r="DU234" s="15">
        <f t="shared" si="1142"/>
        <v>0</v>
      </c>
      <c r="DV234"/>
      <c r="DW234" s="15"/>
      <c r="DX234" s="15">
        <f t="shared" si="1143"/>
        <v>0</v>
      </c>
      <c r="DY234"/>
      <c r="DZ234" s="15"/>
      <c r="EA234" s="15">
        <f t="shared" si="1144"/>
        <v>0</v>
      </c>
      <c r="EB234"/>
      <c r="EC234" s="15"/>
      <c r="ED234" s="15">
        <f t="shared" si="1145"/>
        <v>0</v>
      </c>
      <c r="EF234" s="399"/>
      <c r="EG234" s="399">
        <f t="shared" si="1146"/>
        <v>0</v>
      </c>
      <c r="EI234" s="399"/>
      <c r="EK234" s="399"/>
      <c r="EM234" s="399"/>
      <c r="EN234" s="399">
        <f t="shared" si="1147"/>
        <v>0</v>
      </c>
      <c r="EP234" s="399"/>
      <c r="EQ234" s="399">
        <f t="shared" si="1148"/>
        <v>0</v>
      </c>
      <c r="ES234" s="399"/>
      <c r="ET234" s="399">
        <f t="shared" si="1149"/>
        <v>0</v>
      </c>
      <c r="EV234" s="399"/>
      <c r="EW234" s="399">
        <f t="shared" si="1150"/>
        <v>0</v>
      </c>
      <c r="EY234" s="399"/>
      <c r="EZ234" s="399">
        <f t="shared" si="1151"/>
        <v>0</v>
      </c>
      <c r="FB234" s="399"/>
      <c r="FC234" s="399">
        <f t="shared" si="1152"/>
        <v>0</v>
      </c>
      <c r="FE234" s="399"/>
      <c r="FF234" s="399">
        <f t="shared" si="1153"/>
        <v>0</v>
      </c>
      <c r="FH234" s="399"/>
      <c r="FI234" s="399">
        <f t="shared" si="1154"/>
        <v>0</v>
      </c>
      <c r="FK234" s="399"/>
      <c r="FL234" s="399">
        <f t="shared" si="1155"/>
        <v>0</v>
      </c>
      <c r="FO234" s="399">
        <f t="shared" si="1156"/>
        <v>0</v>
      </c>
      <c r="FR234" s="399">
        <v>0</v>
      </c>
      <c r="FT234" s="399"/>
      <c r="FV234" s="399"/>
      <c r="FY234" s="399"/>
    </row>
    <row r="235" spans="1:181" s="395" customFormat="1" outlineLevel="1">
      <c r="A235" s="389" t="s">
        <v>456</v>
      </c>
      <c r="B235" s="390" t="s">
        <v>220</v>
      </c>
      <c r="C235" s="391" t="s">
        <v>221</v>
      </c>
      <c r="D235" s="392"/>
      <c r="E235" s="393"/>
      <c r="F235" s="392"/>
      <c r="G235" s="393"/>
      <c r="H235" s="392"/>
      <c r="I235" s="392"/>
      <c r="J235" s="394"/>
      <c r="L235" s="396"/>
      <c r="M235" s="39"/>
      <c r="N235" s="39"/>
      <c r="O235" s="457"/>
      <c r="P235" s="151"/>
      <c r="Q235" s="154"/>
      <c r="R235" s="15"/>
      <c r="S235" s="118"/>
      <c r="T235" s="15"/>
      <c r="U235" s="15"/>
      <c r="V235" s="140"/>
      <c r="W235"/>
      <c r="X235"/>
      <c r="Y235"/>
      <c r="Z235"/>
      <c r="AA235" s="118"/>
      <c r="AB235" s="118"/>
      <c r="AC235" s="188"/>
      <c r="AD235" s="188"/>
      <c r="AE235" s="396"/>
      <c r="AF235" s="398"/>
      <c r="AH235" s="399"/>
      <c r="AK235" s="396">
        <v>200</v>
      </c>
      <c r="AL235" s="15"/>
      <c r="AM235"/>
      <c r="AN235"/>
      <c r="AO235"/>
      <c r="AP235" s="220"/>
      <c r="AQ235"/>
      <c r="AR235"/>
      <c r="AS235" s="15">
        <f t="shared" si="1130"/>
        <v>200</v>
      </c>
      <c r="AT235"/>
      <c r="AU235" s="15"/>
      <c r="AV235" s="15">
        <f t="shared" si="1131"/>
        <v>200</v>
      </c>
      <c r="AW235"/>
      <c r="AX235" s="15"/>
      <c r="AY235" s="15">
        <f t="shared" si="1132"/>
        <v>200</v>
      </c>
      <c r="AZ235"/>
      <c r="BA235" s="15"/>
      <c r="BB235" s="15">
        <f t="shared" si="1133"/>
        <v>200</v>
      </c>
      <c r="BC235"/>
      <c r="BD235" s="15"/>
      <c r="BE235" s="15">
        <f t="shared" si="1134"/>
        <v>200</v>
      </c>
      <c r="BG235" s="399"/>
      <c r="BH235" s="399">
        <f t="shared" si="1135"/>
        <v>200</v>
      </c>
      <c r="BJ235" s="399">
        <v>0</v>
      </c>
      <c r="BK235" s="400">
        <f t="shared" si="1136"/>
        <v>0</v>
      </c>
      <c r="BL235" s="401"/>
      <c r="BM235" s="399"/>
      <c r="BN235" s="401"/>
      <c r="BO235" s="401"/>
      <c r="BQ235" s="15"/>
      <c r="BR235" s="15"/>
      <c r="BS235"/>
      <c r="BT235" s="15"/>
      <c r="BU235" s="15"/>
      <c r="BV235"/>
      <c r="BW235" s="15"/>
      <c r="BX235" s="15"/>
      <c r="BY235"/>
      <c r="BZ235" s="15"/>
      <c r="CA235" s="15"/>
      <c r="CB235"/>
      <c r="CC235" s="15"/>
      <c r="CD235" s="15"/>
      <c r="CE235"/>
      <c r="CF235" s="15"/>
      <c r="CG235" s="15"/>
      <c r="CH235"/>
      <c r="CI235" s="15"/>
      <c r="CJ235" s="15"/>
      <c r="CK235"/>
      <c r="CL235" s="15"/>
      <c r="CM235" s="15"/>
      <c r="CN235"/>
      <c r="CO235" s="15"/>
      <c r="CP235" s="15"/>
      <c r="CR235" s="15"/>
      <c r="CS235" s="15"/>
      <c r="CT235"/>
      <c r="CU235" s="15"/>
      <c r="CV235" s="15"/>
      <c r="CW235"/>
      <c r="CX235" s="399"/>
      <c r="CY235" s="399"/>
      <c r="DA235" s="399"/>
      <c r="DC235" s="399"/>
      <c r="DE235" s="15"/>
      <c r="DF235" s="15">
        <f t="shared" si="1137"/>
        <v>0</v>
      </c>
      <c r="DG235"/>
      <c r="DH235" s="15"/>
      <c r="DI235" s="15">
        <f t="shared" si="1138"/>
        <v>0</v>
      </c>
      <c r="DJ235"/>
      <c r="DK235" s="15"/>
      <c r="DL235" s="15">
        <f t="shared" si="1139"/>
        <v>0</v>
      </c>
      <c r="DM235"/>
      <c r="DN235" s="15"/>
      <c r="DO235" s="15">
        <f t="shared" si="1140"/>
        <v>0</v>
      </c>
      <c r="DP235"/>
      <c r="DQ235" s="15"/>
      <c r="DR235" s="15">
        <f t="shared" si="1141"/>
        <v>0</v>
      </c>
      <c r="DS235"/>
      <c r="DT235" s="15"/>
      <c r="DU235" s="15">
        <f t="shared" si="1142"/>
        <v>0</v>
      </c>
      <c r="DV235"/>
      <c r="DW235" s="15"/>
      <c r="DX235" s="15">
        <f t="shared" si="1143"/>
        <v>0</v>
      </c>
      <c r="DY235"/>
      <c r="DZ235" s="15"/>
      <c r="EA235" s="15">
        <f t="shared" si="1144"/>
        <v>0</v>
      </c>
      <c r="EB235"/>
      <c r="EC235" s="15"/>
      <c r="ED235" s="15">
        <f t="shared" si="1145"/>
        <v>0</v>
      </c>
      <c r="EF235" s="399"/>
      <c r="EG235" s="399">
        <f t="shared" si="1146"/>
        <v>0</v>
      </c>
      <c r="EI235" s="399"/>
      <c r="EK235" s="399">
        <v>500</v>
      </c>
      <c r="EM235" s="399"/>
      <c r="EN235" s="399">
        <f t="shared" si="1147"/>
        <v>500</v>
      </c>
      <c r="EP235" s="399"/>
      <c r="EQ235" s="399">
        <f t="shared" si="1148"/>
        <v>500</v>
      </c>
      <c r="ES235" s="399"/>
      <c r="ET235" s="399">
        <f t="shared" si="1149"/>
        <v>500</v>
      </c>
      <c r="EV235" s="399"/>
      <c r="EW235" s="399">
        <f t="shared" si="1150"/>
        <v>500</v>
      </c>
      <c r="EY235" s="399"/>
      <c r="EZ235" s="399">
        <f t="shared" si="1151"/>
        <v>500</v>
      </c>
      <c r="FB235" s="399"/>
      <c r="FC235" s="399">
        <f t="shared" si="1152"/>
        <v>500</v>
      </c>
      <c r="FE235" s="399"/>
      <c r="FF235" s="399">
        <f t="shared" si="1153"/>
        <v>500</v>
      </c>
      <c r="FH235" s="399"/>
      <c r="FI235" s="399">
        <f t="shared" si="1154"/>
        <v>500</v>
      </c>
      <c r="FK235" s="227">
        <v>-500</v>
      </c>
      <c r="FL235" s="399">
        <f t="shared" si="1155"/>
        <v>0</v>
      </c>
      <c r="FO235" s="399">
        <f t="shared" si="1156"/>
        <v>0</v>
      </c>
      <c r="FR235" s="399">
        <v>0</v>
      </c>
      <c r="FT235" s="399"/>
      <c r="FV235" s="399">
        <v>500</v>
      </c>
      <c r="FW235" s="235" t="e">
        <f t="shared" ref="FW235:FW237" si="1158">FV235/FT235</f>
        <v>#DIV/0!</v>
      </c>
      <c r="FY235" s="399"/>
    </row>
    <row r="236" spans="1:181" s="395" customFormat="1" outlineLevel="1">
      <c r="A236" s="389" t="s">
        <v>456</v>
      </c>
      <c r="B236" s="390" t="s">
        <v>206</v>
      </c>
      <c r="C236" s="391" t="s">
        <v>207</v>
      </c>
      <c r="D236" s="392"/>
      <c r="E236" s="393"/>
      <c r="F236" s="392"/>
      <c r="G236" s="393"/>
      <c r="H236" s="392"/>
      <c r="I236" s="392"/>
      <c r="J236" s="394"/>
      <c r="L236" s="396"/>
      <c r="M236" s="39"/>
      <c r="N236" s="39"/>
      <c r="O236" s="457"/>
      <c r="P236" s="151"/>
      <c r="Q236" s="154"/>
      <c r="R236" s="15"/>
      <c r="S236" s="118"/>
      <c r="T236" s="15"/>
      <c r="U236" s="15"/>
      <c r="V236" s="140"/>
      <c r="W236"/>
      <c r="X236"/>
      <c r="Y236"/>
      <c r="Z236"/>
      <c r="AA236" s="118"/>
      <c r="AB236" s="118"/>
      <c r="AC236" s="188"/>
      <c r="AD236" s="188"/>
      <c r="AE236" s="396"/>
      <c r="AF236" s="398"/>
      <c r="AH236" s="399"/>
      <c r="AK236" s="396">
        <v>1000</v>
      </c>
      <c r="AL236" s="15"/>
      <c r="AM236"/>
      <c r="AN236"/>
      <c r="AO236"/>
      <c r="AP236" s="220"/>
      <c r="AQ236"/>
      <c r="AR236"/>
      <c r="AS236" s="15">
        <f t="shared" si="1130"/>
        <v>1000</v>
      </c>
      <c r="AT236"/>
      <c r="AU236" s="15"/>
      <c r="AV236" s="15">
        <f t="shared" si="1131"/>
        <v>1000</v>
      </c>
      <c r="AW236"/>
      <c r="AX236" s="15"/>
      <c r="AY236" s="15">
        <f t="shared" si="1132"/>
        <v>1000</v>
      </c>
      <c r="AZ236"/>
      <c r="BA236" s="15"/>
      <c r="BB236" s="15">
        <f t="shared" si="1133"/>
        <v>1000</v>
      </c>
      <c r="BC236"/>
      <c r="BD236" s="15"/>
      <c r="BE236" s="15">
        <f t="shared" si="1134"/>
        <v>1000</v>
      </c>
      <c r="BG236" s="399"/>
      <c r="BH236" s="399">
        <f t="shared" si="1135"/>
        <v>1000</v>
      </c>
      <c r="BJ236" s="399">
        <v>636</v>
      </c>
      <c r="BK236" s="400">
        <f t="shared" si="1136"/>
        <v>0.63600000000000001</v>
      </c>
      <c r="BL236" s="401"/>
      <c r="BM236" s="399"/>
      <c r="BN236" s="401"/>
      <c r="BO236" s="401"/>
      <c r="BQ236" s="15"/>
      <c r="BR236" s="15"/>
      <c r="BS236"/>
      <c r="BT236" s="15"/>
      <c r="BU236" s="15"/>
      <c r="BV236"/>
      <c r="BW236" s="15"/>
      <c r="BX236" s="15"/>
      <c r="BY236"/>
      <c r="BZ236" s="15"/>
      <c r="CA236" s="15"/>
      <c r="CB236"/>
      <c r="CC236" s="15"/>
      <c r="CD236" s="15"/>
      <c r="CE236"/>
      <c r="CF236" s="15"/>
      <c r="CG236" s="15"/>
      <c r="CH236"/>
      <c r="CI236" s="15"/>
      <c r="CJ236" s="15"/>
      <c r="CK236"/>
      <c r="CL236" s="15"/>
      <c r="CM236" s="15"/>
      <c r="CN236"/>
      <c r="CO236" s="15"/>
      <c r="CP236" s="15"/>
      <c r="CR236" s="15"/>
      <c r="CS236" s="15"/>
      <c r="CT236"/>
      <c r="CU236" s="15"/>
      <c r="CV236" s="15"/>
      <c r="CW236"/>
      <c r="CX236" s="399"/>
      <c r="CY236" s="399"/>
      <c r="DA236" s="399"/>
      <c r="DC236" s="399"/>
      <c r="DE236" s="15"/>
      <c r="DF236" s="15">
        <f t="shared" si="1137"/>
        <v>0</v>
      </c>
      <c r="DG236"/>
      <c r="DH236" s="15"/>
      <c r="DI236" s="15">
        <f t="shared" si="1138"/>
        <v>0</v>
      </c>
      <c r="DJ236"/>
      <c r="DK236" s="15"/>
      <c r="DL236" s="15">
        <f t="shared" si="1139"/>
        <v>0</v>
      </c>
      <c r="DM236"/>
      <c r="DN236" s="15"/>
      <c r="DO236" s="15">
        <f t="shared" si="1140"/>
        <v>0</v>
      </c>
      <c r="DP236"/>
      <c r="DQ236" s="15"/>
      <c r="DR236" s="15">
        <f t="shared" si="1141"/>
        <v>0</v>
      </c>
      <c r="DS236"/>
      <c r="DT236" s="15"/>
      <c r="DU236" s="15">
        <f t="shared" si="1142"/>
        <v>0</v>
      </c>
      <c r="DV236"/>
      <c r="DW236" s="15"/>
      <c r="DX236" s="15">
        <f t="shared" si="1143"/>
        <v>0</v>
      </c>
      <c r="DY236"/>
      <c r="DZ236" s="15"/>
      <c r="EA236" s="15">
        <f t="shared" si="1144"/>
        <v>0</v>
      </c>
      <c r="EB236"/>
      <c r="EC236" s="15"/>
      <c r="ED236" s="15">
        <f t="shared" si="1145"/>
        <v>0</v>
      </c>
      <c r="EF236" s="399"/>
      <c r="EG236" s="399">
        <f t="shared" si="1146"/>
        <v>0</v>
      </c>
      <c r="EI236" s="399"/>
      <c r="EK236" s="399">
        <v>1000</v>
      </c>
      <c r="EM236" s="399"/>
      <c r="EN236" s="399">
        <f t="shared" si="1147"/>
        <v>1000</v>
      </c>
      <c r="EP236" s="399"/>
      <c r="EQ236" s="399">
        <f t="shared" si="1148"/>
        <v>1000</v>
      </c>
      <c r="ES236" s="399"/>
      <c r="ET236" s="399">
        <f t="shared" si="1149"/>
        <v>1000</v>
      </c>
      <c r="EV236" s="399"/>
      <c r="EW236" s="399">
        <f t="shared" si="1150"/>
        <v>1000</v>
      </c>
      <c r="EY236" s="399"/>
      <c r="EZ236" s="399">
        <f t="shared" si="1151"/>
        <v>1000</v>
      </c>
      <c r="FB236" s="399"/>
      <c r="FC236" s="399">
        <f t="shared" si="1152"/>
        <v>1000</v>
      </c>
      <c r="FE236" s="399"/>
      <c r="FF236" s="399">
        <f t="shared" si="1153"/>
        <v>1000</v>
      </c>
      <c r="FH236" s="399"/>
      <c r="FI236" s="399">
        <f t="shared" si="1154"/>
        <v>1000</v>
      </c>
      <c r="FK236" s="227">
        <v>-1000</v>
      </c>
      <c r="FL236" s="399">
        <f t="shared" si="1155"/>
        <v>0</v>
      </c>
      <c r="FO236" s="399">
        <f t="shared" si="1156"/>
        <v>0</v>
      </c>
      <c r="FR236" s="399">
        <v>0</v>
      </c>
      <c r="FT236" s="399"/>
      <c r="FV236" s="399">
        <v>1500</v>
      </c>
      <c r="FW236" s="235" t="e">
        <f t="shared" si="1158"/>
        <v>#DIV/0!</v>
      </c>
      <c r="FY236" s="399"/>
    </row>
    <row r="237" spans="1:181" s="395" customFormat="1" outlineLevel="1">
      <c r="A237" s="389" t="s">
        <v>456</v>
      </c>
      <c r="B237" s="390" t="s">
        <v>148</v>
      </c>
      <c r="C237" s="391" t="s">
        <v>149</v>
      </c>
      <c r="D237" s="392"/>
      <c r="E237" s="393"/>
      <c r="F237" s="392"/>
      <c r="G237" s="393"/>
      <c r="H237" s="392"/>
      <c r="I237" s="392"/>
      <c r="J237" s="394"/>
      <c r="L237" s="396"/>
      <c r="M237" s="39"/>
      <c r="N237" s="39"/>
      <c r="O237" s="151"/>
      <c r="P237" s="151"/>
      <c r="Q237" s="154"/>
      <c r="R237" s="15"/>
      <c r="S237" s="118"/>
      <c r="T237" s="15"/>
      <c r="U237" s="15"/>
      <c r="V237" s="140"/>
      <c r="W237"/>
      <c r="X237"/>
      <c r="Y237"/>
      <c r="Z237"/>
      <c r="AA237" s="118"/>
      <c r="AB237" s="118"/>
      <c r="AC237" s="188"/>
      <c r="AD237" s="188"/>
      <c r="AE237" s="396"/>
      <c r="AF237" s="398"/>
      <c r="AH237" s="399"/>
      <c r="AK237" s="396">
        <v>2000</v>
      </c>
      <c r="AL237" s="15"/>
      <c r="AM237"/>
      <c r="AN237"/>
      <c r="AO237"/>
      <c r="AP237" s="220"/>
      <c r="AQ237"/>
      <c r="AR237"/>
      <c r="AS237" s="15">
        <f t="shared" si="1130"/>
        <v>2000</v>
      </c>
      <c r="AT237"/>
      <c r="AU237" s="15"/>
      <c r="AV237" s="15">
        <f t="shared" si="1131"/>
        <v>2000</v>
      </c>
      <c r="AW237"/>
      <c r="AX237" s="15"/>
      <c r="AY237" s="15">
        <f t="shared" si="1132"/>
        <v>2000</v>
      </c>
      <c r="AZ237"/>
      <c r="BA237" s="15"/>
      <c r="BB237" s="15">
        <f t="shared" si="1133"/>
        <v>2000</v>
      </c>
      <c r="BC237"/>
      <c r="BD237" s="15"/>
      <c r="BE237" s="15">
        <f t="shared" si="1134"/>
        <v>2000</v>
      </c>
      <c r="BG237" s="399"/>
      <c r="BH237" s="399">
        <f t="shared" si="1135"/>
        <v>2000</v>
      </c>
      <c r="BJ237" s="399">
        <v>910</v>
      </c>
      <c r="BK237" s="400">
        <f t="shared" si="1136"/>
        <v>0.45500000000000002</v>
      </c>
      <c r="BL237" s="401"/>
      <c r="BM237" s="399"/>
      <c r="BN237" s="401"/>
      <c r="BO237" s="401"/>
      <c r="BQ237" s="15"/>
      <c r="BR237" s="15"/>
      <c r="BS237"/>
      <c r="BT237" s="15"/>
      <c r="BU237" s="15"/>
      <c r="BV237"/>
      <c r="BW237" s="15"/>
      <c r="BX237" s="15"/>
      <c r="BY237"/>
      <c r="BZ237" s="15"/>
      <c r="CA237" s="15"/>
      <c r="CB237"/>
      <c r="CC237" s="15"/>
      <c r="CD237" s="15"/>
      <c r="CE237"/>
      <c r="CF237" s="15"/>
      <c r="CG237" s="15"/>
      <c r="CH237"/>
      <c r="CI237" s="15"/>
      <c r="CJ237" s="15"/>
      <c r="CK237"/>
      <c r="CL237" s="15"/>
      <c r="CM237" s="15"/>
      <c r="CN237"/>
      <c r="CO237" s="15"/>
      <c r="CP237" s="15"/>
      <c r="CR237" s="15"/>
      <c r="CS237" s="15"/>
      <c r="CT237"/>
      <c r="CU237" s="15"/>
      <c r="CV237" s="15"/>
      <c r="CW237"/>
      <c r="CX237" s="399"/>
      <c r="CY237" s="399"/>
      <c r="DA237" s="399"/>
      <c r="DC237" s="399"/>
      <c r="DE237" s="15"/>
      <c r="DF237" s="15">
        <f t="shared" si="1137"/>
        <v>0</v>
      </c>
      <c r="DG237"/>
      <c r="DH237" s="15"/>
      <c r="DI237" s="15">
        <f t="shared" si="1138"/>
        <v>0</v>
      </c>
      <c r="DJ237"/>
      <c r="DK237" s="15"/>
      <c r="DL237" s="15">
        <f t="shared" si="1139"/>
        <v>0</v>
      </c>
      <c r="DM237"/>
      <c r="DN237" s="15"/>
      <c r="DO237" s="15">
        <f t="shared" si="1140"/>
        <v>0</v>
      </c>
      <c r="DP237"/>
      <c r="DQ237" s="15"/>
      <c r="DR237" s="15">
        <f t="shared" si="1141"/>
        <v>0</v>
      </c>
      <c r="DS237"/>
      <c r="DT237" s="15"/>
      <c r="DU237" s="15">
        <f t="shared" si="1142"/>
        <v>0</v>
      </c>
      <c r="DV237"/>
      <c r="DW237" s="15"/>
      <c r="DX237" s="15">
        <f t="shared" si="1143"/>
        <v>0</v>
      </c>
      <c r="DY237"/>
      <c r="DZ237" s="15"/>
      <c r="EA237" s="15">
        <f t="shared" si="1144"/>
        <v>0</v>
      </c>
      <c r="EB237"/>
      <c r="EC237" s="15"/>
      <c r="ED237" s="15">
        <f t="shared" si="1145"/>
        <v>0</v>
      </c>
      <c r="EF237" s="399"/>
      <c r="EG237" s="399">
        <f t="shared" si="1146"/>
        <v>0</v>
      </c>
      <c r="EI237" s="399"/>
      <c r="EK237" s="399">
        <v>2000</v>
      </c>
      <c r="EM237" s="399"/>
      <c r="EN237" s="399">
        <f t="shared" si="1147"/>
        <v>2000</v>
      </c>
      <c r="EP237" s="399"/>
      <c r="EQ237" s="399">
        <f t="shared" si="1148"/>
        <v>2000</v>
      </c>
      <c r="ES237" s="399"/>
      <c r="ET237" s="399">
        <f t="shared" si="1149"/>
        <v>2000</v>
      </c>
      <c r="EV237" s="399"/>
      <c r="EW237" s="399">
        <f t="shared" si="1150"/>
        <v>2000</v>
      </c>
      <c r="EY237" s="399"/>
      <c r="EZ237" s="399">
        <f t="shared" si="1151"/>
        <v>2000</v>
      </c>
      <c r="FB237" s="399"/>
      <c r="FC237" s="399">
        <f t="shared" si="1152"/>
        <v>2000</v>
      </c>
      <c r="FE237" s="399"/>
      <c r="FF237" s="399">
        <f t="shared" si="1153"/>
        <v>2000</v>
      </c>
      <c r="FH237" s="399"/>
      <c r="FI237" s="399">
        <f t="shared" si="1154"/>
        <v>2000</v>
      </c>
      <c r="FK237" s="227">
        <v>-2000</v>
      </c>
      <c r="FL237" s="399">
        <f t="shared" si="1155"/>
        <v>0</v>
      </c>
      <c r="FO237" s="399">
        <f t="shared" si="1156"/>
        <v>0</v>
      </c>
      <c r="FR237" s="399">
        <v>0</v>
      </c>
      <c r="FT237" s="399"/>
      <c r="FV237" s="399">
        <v>3000</v>
      </c>
      <c r="FW237" s="235" t="e">
        <f t="shared" si="1158"/>
        <v>#DIV/0!</v>
      </c>
      <c r="FY237" s="399"/>
    </row>
    <row r="238" spans="1:181" s="395" customFormat="1" outlineLevel="1">
      <c r="A238" s="389" t="s">
        <v>456</v>
      </c>
      <c r="B238" s="397" t="s">
        <v>46</v>
      </c>
      <c r="C238" s="391" t="s">
        <v>651</v>
      </c>
      <c r="D238" s="392"/>
      <c r="E238" s="393"/>
      <c r="F238" s="392"/>
      <c r="G238" s="393"/>
      <c r="H238" s="392"/>
      <c r="I238" s="392"/>
      <c r="J238" s="394"/>
      <c r="L238" s="396"/>
      <c r="M238" s="39"/>
      <c r="N238" s="39"/>
      <c r="O238" s="151"/>
      <c r="P238" s="151"/>
      <c r="Q238" s="154"/>
      <c r="R238" s="15"/>
      <c r="S238" s="118"/>
      <c r="T238" s="15"/>
      <c r="U238" s="15"/>
      <c r="V238" s="140"/>
      <c r="W238"/>
      <c r="X238"/>
      <c r="Y238"/>
      <c r="Z238"/>
      <c r="AA238" s="118"/>
      <c r="AB238" s="118"/>
      <c r="AC238" s="188"/>
      <c r="AD238" s="188"/>
      <c r="AE238" s="396"/>
      <c r="AF238" s="398"/>
      <c r="AH238" s="399"/>
      <c r="AK238" s="396"/>
      <c r="AL238" s="15"/>
      <c r="AM238"/>
      <c r="AN238"/>
      <c r="AO238"/>
      <c r="AP238" s="220"/>
      <c r="AQ238"/>
      <c r="AR238"/>
      <c r="AS238"/>
      <c r="AT238"/>
      <c r="AU238" s="15"/>
      <c r="AV238"/>
      <c r="AW238"/>
      <c r="AX238" s="15"/>
      <c r="AY238"/>
      <c r="AZ238"/>
      <c r="BA238" s="15"/>
      <c r="BB238"/>
      <c r="BC238"/>
      <c r="BD238" s="15"/>
      <c r="BE238"/>
      <c r="BG238" s="399"/>
      <c r="BJ238" s="399"/>
      <c r="BK238" s="401"/>
      <c r="BL238" s="401"/>
      <c r="BN238" s="401"/>
      <c r="BO238" s="401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 s="15"/>
      <c r="CM238"/>
      <c r="CN238"/>
      <c r="CO238" s="15"/>
      <c r="CP238"/>
      <c r="CR238" s="15"/>
      <c r="CS238"/>
      <c r="CT238"/>
      <c r="CU238" s="15"/>
      <c r="CV238"/>
      <c r="CW238"/>
      <c r="CX238" s="399"/>
      <c r="DA238" s="399"/>
      <c r="DC238" s="399"/>
      <c r="DE238" s="15"/>
      <c r="DF238"/>
      <c r="DG238"/>
      <c r="DH238" s="15"/>
      <c r="DI238"/>
      <c r="DJ238"/>
      <c r="DK238" s="15"/>
      <c r="DL238"/>
      <c r="DM238"/>
      <c r="DN238" s="15"/>
      <c r="DO238"/>
      <c r="DP238"/>
      <c r="DQ238" s="15"/>
      <c r="DR238"/>
      <c r="DS238"/>
      <c r="DT238" s="15"/>
      <c r="DU238"/>
      <c r="DV238"/>
      <c r="DW238" s="15"/>
      <c r="DX238"/>
      <c r="DY238"/>
      <c r="DZ238" s="15"/>
      <c r="EA238"/>
      <c r="EB238"/>
      <c r="EC238" s="15"/>
      <c r="ED238"/>
      <c r="EF238" s="399"/>
      <c r="EI238" s="399"/>
      <c r="EK238" s="399"/>
      <c r="EM238" s="399"/>
      <c r="EP238" s="399"/>
      <c r="ES238" s="399"/>
      <c r="EV238" s="399"/>
      <c r="EY238" s="399"/>
      <c r="FB238" s="399"/>
      <c r="FE238" s="399"/>
      <c r="FH238" s="399"/>
      <c r="FK238" s="399"/>
      <c r="FN238" s="399"/>
      <c r="FQ238" s="399"/>
      <c r="FT238" s="399"/>
      <c r="FV238" s="399"/>
      <c r="FY238" s="399"/>
    </row>
    <row r="239" spans="1:181" outlineLevel="1">
      <c r="A239" s="13" t="s">
        <v>349</v>
      </c>
      <c r="B239" s="332" t="s">
        <v>183</v>
      </c>
      <c r="C239" s="4" t="s">
        <v>184</v>
      </c>
      <c r="D239" s="36"/>
      <c r="E239" s="51"/>
      <c r="F239" s="36"/>
      <c r="G239" s="51"/>
      <c r="H239" s="36"/>
      <c r="I239" s="36"/>
      <c r="J239" s="14"/>
      <c r="M239" s="39"/>
      <c r="N239" s="39"/>
      <c r="O239" s="151"/>
      <c r="P239" s="151"/>
      <c r="Q239" s="154"/>
      <c r="AF239" s="182"/>
      <c r="AH239" s="15"/>
      <c r="AX239" s="15"/>
      <c r="BD239" s="15"/>
      <c r="BG239" s="15"/>
      <c r="CO239" s="15">
        <v>1800</v>
      </c>
      <c r="CP239" s="15">
        <f t="shared" ref="CP239:CP246" si="1159">CM239+CO239</f>
        <v>1800</v>
      </c>
      <c r="CS239" s="15">
        <f t="shared" ref="CS239:CS246" si="1160">CP239+CR239</f>
        <v>1800</v>
      </c>
      <c r="CV239" s="15">
        <f t="shared" ref="CV239:CV246" si="1161">CS239+CU239</f>
        <v>1800</v>
      </c>
      <c r="CY239" s="15">
        <f t="shared" ref="CY239:CY246" si="1162">CV239+CX239</f>
        <v>1800</v>
      </c>
      <c r="DA239" s="15">
        <v>1785</v>
      </c>
      <c r="DE239" s="15"/>
      <c r="DH239" s="15"/>
      <c r="DK239" s="15"/>
      <c r="DN239" s="15"/>
      <c r="DQ239" s="15"/>
      <c r="DT239" s="15"/>
      <c r="DW239" s="15"/>
      <c r="DZ239" s="15"/>
      <c r="EC239" s="15"/>
      <c r="EF239" s="15"/>
      <c r="EK239" s="15"/>
      <c r="EM239" s="15"/>
      <c r="EP239" s="15"/>
      <c r="ES239" s="15"/>
    </row>
    <row r="240" spans="1:181" outlineLevel="1">
      <c r="A240" s="13" t="s">
        <v>349</v>
      </c>
      <c r="B240" s="1" t="s">
        <v>142</v>
      </c>
      <c r="C240" s="4" t="s">
        <v>143</v>
      </c>
      <c r="D240" s="36"/>
      <c r="E240" s="51" t="s">
        <v>463</v>
      </c>
      <c r="F240" s="36"/>
      <c r="G240" s="51"/>
      <c r="H240" s="36"/>
      <c r="I240" s="36"/>
      <c r="J240" s="14"/>
      <c r="K240" t="s">
        <v>332</v>
      </c>
      <c r="L240" s="118">
        <v>14000</v>
      </c>
      <c r="M240" s="17" t="e">
        <f t="shared" ref="M240:M260" si="1163">L240/F240-1</f>
        <v>#DIV/0!</v>
      </c>
      <c r="N240" s="17" t="e">
        <f>L240/I240-1</f>
        <v>#DIV/0!</v>
      </c>
      <c r="Q240" s="118">
        <f>L240</f>
        <v>14000</v>
      </c>
      <c r="R240" s="15">
        <v>0</v>
      </c>
      <c r="S240" s="118">
        <f>Q240</f>
        <v>14000</v>
      </c>
      <c r="T240" s="15">
        <f t="shared" ref="T240:T246" si="1164">S240-Q240</f>
        <v>0</v>
      </c>
      <c r="U240" s="16">
        <f t="shared" ref="U240:U260" si="1165">S240/Q240-1</f>
        <v>0</v>
      </c>
      <c r="Y240" s="118">
        <v>17000</v>
      </c>
      <c r="AA240" s="118">
        <v>17000</v>
      </c>
      <c r="AB240" s="185">
        <f t="shared" ref="AB240:AB246" si="1166">AA240-Y240</f>
        <v>0</v>
      </c>
      <c r="AC240" s="187">
        <f t="shared" ref="AC240:AC246" si="1167">AA240-Y240</f>
        <v>0</v>
      </c>
      <c r="AD240" s="187"/>
      <c r="AE240" s="118">
        <v>17000</v>
      </c>
      <c r="AF240" s="182"/>
      <c r="AH240" s="15">
        <v>16579</v>
      </c>
      <c r="AI240" s="17">
        <f t="shared" ref="AI240:AI261" si="1168">AH240/AE240</f>
        <v>0.97523529411764709</v>
      </c>
      <c r="AX240" s="15"/>
      <c r="BD240" s="15"/>
      <c r="BG240" s="15"/>
      <c r="BM240" s="15">
        <v>20000</v>
      </c>
      <c r="BQ240" s="15"/>
      <c r="BR240" s="15">
        <f t="shared" ref="BR240:BR246" si="1169">BM240+BQ240</f>
        <v>20000</v>
      </c>
      <c r="BT240" s="15"/>
      <c r="BU240" s="15">
        <f t="shared" ref="BU240:BU246" si="1170">BR240+BT240</f>
        <v>20000</v>
      </c>
      <c r="BW240" s="15"/>
      <c r="BX240" s="15">
        <f t="shared" ref="BX240:BX246" si="1171">BU240+BW240</f>
        <v>20000</v>
      </c>
      <c r="BZ240" s="15"/>
      <c r="CA240" s="15">
        <f t="shared" ref="CA240:CA246" si="1172">BX240+BZ240</f>
        <v>20000</v>
      </c>
      <c r="CC240" s="15"/>
      <c r="CD240" s="15">
        <f t="shared" ref="CD240:CD246" si="1173">CA240+CC240</f>
        <v>20000</v>
      </c>
      <c r="CF240" s="15"/>
      <c r="CG240" s="15">
        <f t="shared" ref="CG240:CG246" si="1174">CD240+CF240</f>
        <v>20000</v>
      </c>
      <c r="CI240" s="15"/>
      <c r="CJ240" s="15">
        <f t="shared" ref="CJ240:CJ246" si="1175">CG240+CI240</f>
        <v>20000</v>
      </c>
      <c r="CL240" s="15">
        <v>-18000</v>
      </c>
      <c r="CM240" s="15">
        <f t="shared" ref="CM240:CM246" si="1176">CJ240+CL240</f>
        <v>2000</v>
      </c>
      <c r="CO240" s="15">
        <v>6000</v>
      </c>
      <c r="CP240" s="15">
        <f t="shared" si="1159"/>
        <v>8000</v>
      </c>
      <c r="CS240" s="15">
        <f t="shared" si="1160"/>
        <v>8000</v>
      </c>
      <c r="CV240" s="15">
        <f t="shared" si="1161"/>
        <v>8000</v>
      </c>
      <c r="CY240" s="15">
        <f t="shared" si="1162"/>
        <v>8000</v>
      </c>
      <c r="DA240" s="15">
        <v>7938</v>
      </c>
      <c r="DE240" s="15"/>
      <c r="DH240" s="15"/>
      <c r="DK240" s="15"/>
      <c r="DN240" s="15"/>
      <c r="DQ240" s="15"/>
      <c r="DT240" s="15"/>
      <c r="DW240" s="15"/>
      <c r="DZ240" s="15"/>
      <c r="EC240" s="15"/>
      <c r="EF240" s="15"/>
      <c r="EK240" s="15">
        <v>20000</v>
      </c>
      <c r="EM240" s="15"/>
      <c r="EN240" s="15">
        <f t="shared" ref="EN240" si="1177">EK240+EM240</f>
        <v>20000</v>
      </c>
      <c r="EP240" s="15"/>
      <c r="EQ240" s="15">
        <f t="shared" ref="EQ240" si="1178">EN240+EP240</f>
        <v>20000</v>
      </c>
      <c r="ES240" s="15"/>
      <c r="ET240" s="15">
        <f t="shared" ref="ET240" si="1179">EQ240+ES240</f>
        <v>20000</v>
      </c>
      <c r="EW240" s="15">
        <f t="shared" ref="EW240" si="1180">ET240+EV240</f>
        <v>20000</v>
      </c>
      <c r="EZ240" s="15">
        <f t="shared" ref="EZ240" si="1181">EW240+EY240</f>
        <v>20000</v>
      </c>
      <c r="FC240" s="15">
        <f t="shared" ref="FC240" si="1182">EZ240+FB240</f>
        <v>20000</v>
      </c>
      <c r="FE240" s="227">
        <v>-450</v>
      </c>
      <c r="FF240" s="15">
        <f t="shared" ref="FF240" si="1183">FC240+FE240</f>
        <v>19550</v>
      </c>
      <c r="FI240" s="15">
        <f t="shared" ref="FI240" si="1184">FF240+FH240</f>
        <v>19550</v>
      </c>
      <c r="FK240" s="227">
        <f>15421-19550</f>
        <v>-4129</v>
      </c>
      <c r="FL240" s="15">
        <f t="shared" ref="FL240" si="1185">FI240+FK240</f>
        <v>15421</v>
      </c>
      <c r="FM240" s="15"/>
      <c r="FO240" s="15">
        <f t="shared" ref="FO240" si="1186">FL240+FN240</f>
        <v>15421</v>
      </c>
      <c r="FR240" s="15">
        <v>15421</v>
      </c>
      <c r="FT240" s="15">
        <v>15421</v>
      </c>
    </row>
    <row r="241" spans="1:178" outlineLevel="1">
      <c r="A241" s="13" t="s">
        <v>349</v>
      </c>
      <c r="B241" s="1" t="s">
        <v>189</v>
      </c>
      <c r="C241" s="4" t="s">
        <v>190</v>
      </c>
      <c r="D241" s="36"/>
      <c r="E241" s="51"/>
      <c r="F241" s="36"/>
      <c r="G241" s="51"/>
      <c r="H241" s="36"/>
      <c r="I241" s="36"/>
      <c r="J241" s="14"/>
      <c r="M241" s="17"/>
      <c r="N241" s="17"/>
      <c r="U241" s="16"/>
      <c r="Y241" s="118">
        <v>1000</v>
      </c>
      <c r="AA241" s="118">
        <v>500</v>
      </c>
      <c r="AB241" s="185">
        <f t="shared" si="1166"/>
        <v>-500</v>
      </c>
      <c r="AC241" s="187">
        <f t="shared" si="1167"/>
        <v>-500</v>
      </c>
      <c r="AD241" s="187"/>
      <c r="AE241" s="118">
        <v>500</v>
      </c>
      <c r="AF241" s="182"/>
      <c r="AH241" s="15">
        <v>489</v>
      </c>
      <c r="AI241" s="17">
        <f t="shared" si="1168"/>
        <v>0.97799999999999998</v>
      </c>
      <c r="AX241" s="15"/>
      <c r="BD241" s="15"/>
      <c r="BG241" s="15"/>
      <c r="BM241" s="15">
        <v>500</v>
      </c>
      <c r="BQ241" s="15"/>
      <c r="BR241" s="15">
        <f t="shared" si="1169"/>
        <v>500</v>
      </c>
      <c r="BT241" s="15"/>
      <c r="BU241" s="15">
        <f t="shared" si="1170"/>
        <v>500</v>
      </c>
      <c r="BW241" s="15"/>
      <c r="BX241" s="15">
        <f t="shared" si="1171"/>
        <v>500</v>
      </c>
      <c r="BZ241" s="15"/>
      <c r="CA241" s="15">
        <f t="shared" si="1172"/>
        <v>500</v>
      </c>
      <c r="CC241" s="15"/>
      <c r="CD241" s="15">
        <f t="shared" si="1173"/>
        <v>500</v>
      </c>
      <c r="CF241" s="15"/>
      <c r="CG241" s="15">
        <f t="shared" si="1174"/>
        <v>500</v>
      </c>
      <c r="CI241" s="15"/>
      <c r="CJ241" s="15">
        <f t="shared" si="1175"/>
        <v>500</v>
      </c>
      <c r="CM241" s="15">
        <f t="shared" si="1176"/>
        <v>500</v>
      </c>
      <c r="CP241" s="15">
        <f t="shared" si="1159"/>
        <v>500</v>
      </c>
      <c r="CS241" s="15">
        <f t="shared" si="1160"/>
        <v>500</v>
      </c>
      <c r="CV241" s="15">
        <f t="shared" si="1161"/>
        <v>500</v>
      </c>
      <c r="CY241" s="15">
        <f t="shared" si="1162"/>
        <v>500</v>
      </c>
      <c r="DA241" s="15">
        <v>0</v>
      </c>
      <c r="DE241" s="15"/>
      <c r="DH241" s="15"/>
      <c r="DK241" s="15"/>
      <c r="DN241" s="15"/>
      <c r="DQ241" s="15"/>
      <c r="DT241" s="15"/>
      <c r="DW241" s="15"/>
      <c r="DZ241" s="15"/>
      <c r="EC241" s="15"/>
      <c r="EF241" s="15"/>
      <c r="EK241" s="15"/>
      <c r="EM241" s="15"/>
      <c r="EP241" s="15"/>
      <c r="ES241" s="15"/>
    </row>
    <row r="242" spans="1:178" outlineLevel="1">
      <c r="A242" s="13" t="s">
        <v>349</v>
      </c>
      <c r="B242" s="1" t="s">
        <v>225</v>
      </c>
      <c r="C242" s="4" t="s">
        <v>226</v>
      </c>
      <c r="D242" s="36"/>
      <c r="E242" s="51"/>
      <c r="F242" s="36"/>
      <c r="G242" s="51"/>
      <c r="H242" s="36"/>
      <c r="I242" s="36"/>
      <c r="J242" s="14"/>
      <c r="M242" s="17"/>
      <c r="N242" s="17"/>
      <c r="U242" s="16"/>
      <c r="Y242" s="118">
        <v>1000</v>
      </c>
      <c r="AA242" s="118">
        <v>850</v>
      </c>
      <c r="AB242" s="185">
        <f t="shared" si="1166"/>
        <v>-150</v>
      </c>
      <c r="AC242" s="187">
        <f t="shared" si="1167"/>
        <v>-150</v>
      </c>
      <c r="AD242" s="187"/>
      <c r="AE242" s="118">
        <v>850</v>
      </c>
      <c r="AF242" s="182"/>
      <c r="AH242" s="15">
        <v>840</v>
      </c>
      <c r="AI242" s="17">
        <f t="shared" si="1168"/>
        <v>0.9882352941176471</v>
      </c>
      <c r="AX242" s="15"/>
      <c r="BD242" s="15"/>
      <c r="BG242" s="15"/>
      <c r="BM242" s="15">
        <v>1000</v>
      </c>
      <c r="BQ242" s="15"/>
      <c r="BR242" s="15">
        <f t="shared" si="1169"/>
        <v>1000</v>
      </c>
      <c r="BT242" s="15"/>
      <c r="BU242" s="15">
        <f t="shared" si="1170"/>
        <v>1000</v>
      </c>
      <c r="BW242" s="15"/>
      <c r="BX242" s="15">
        <f t="shared" si="1171"/>
        <v>1000</v>
      </c>
      <c r="BZ242" s="15"/>
      <c r="CA242" s="15">
        <f t="shared" si="1172"/>
        <v>1000</v>
      </c>
      <c r="CC242" s="15"/>
      <c r="CD242" s="15">
        <f t="shared" si="1173"/>
        <v>1000</v>
      </c>
      <c r="CF242" s="15"/>
      <c r="CG242" s="15">
        <f t="shared" si="1174"/>
        <v>1000</v>
      </c>
      <c r="CI242" s="15"/>
      <c r="CJ242" s="15">
        <f t="shared" si="1175"/>
        <v>1000</v>
      </c>
      <c r="CM242" s="15">
        <f t="shared" si="1176"/>
        <v>1000</v>
      </c>
      <c r="CP242" s="15">
        <f t="shared" si="1159"/>
        <v>1000</v>
      </c>
      <c r="CS242" s="15">
        <f t="shared" si="1160"/>
        <v>1000</v>
      </c>
      <c r="CV242" s="15">
        <f t="shared" si="1161"/>
        <v>1000</v>
      </c>
      <c r="CY242" s="15">
        <f t="shared" si="1162"/>
        <v>1000</v>
      </c>
      <c r="DA242" s="15">
        <v>0</v>
      </c>
      <c r="DE242" s="15"/>
      <c r="DH242" s="15"/>
      <c r="DK242" s="15"/>
      <c r="DN242" s="15"/>
      <c r="DQ242" s="15"/>
      <c r="DT242" s="15"/>
      <c r="DW242" s="15"/>
      <c r="DZ242" s="15"/>
      <c r="EC242" s="15"/>
      <c r="EF242" s="15"/>
      <c r="EK242" s="15"/>
      <c r="EM242" s="15"/>
      <c r="EP242" s="15"/>
      <c r="ES242" s="15"/>
    </row>
    <row r="243" spans="1:178" outlineLevel="1">
      <c r="A243" s="13" t="s">
        <v>349</v>
      </c>
      <c r="B243" s="1" t="s">
        <v>146</v>
      </c>
      <c r="C243" s="4" t="s">
        <v>147</v>
      </c>
      <c r="D243" s="36"/>
      <c r="E243" s="51"/>
      <c r="F243" s="36"/>
      <c r="G243" s="51"/>
      <c r="H243" s="36"/>
      <c r="I243" s="36"/>
      <c r="J243" s="14"/>
      <c r="K243" t="s">
        <v>332</v>
      </c>
      <c r="L243" s="118">
        <v>1000</v>
      </c>
      <c r="M243" s="17" t="e">
        <f t="shared" si="1163"/>
        <v>#DIV/0!</v>
      </c>
      <c r="N243" s="17" t="e">
        <f>L243/I243-1</f>
        <v>#DIV/0!</v>
      </c>
      <c r="Q243" s="118">
        <f>L243</f>
        <v>1000</v>
      </c>
      <c r="R243" s="15">
        <v>0</v>
      </c>
      <c r="S243" s="118">
        <f>Q243</f>
        <v>1000</v>
      </c>
      <c r="T243" s="15">
        <f t="shared" si="1164"/>
        <v>0</v>
      </c>
      <c r="U243" s="16">
        <f t="shared" si="1165"/>
        <v>0</v>
      </c>
      <c r="Y243" s="118">
        <v>1100</v>
      </c>
      <c r="AA243" s="118">
        <v>1100</v>
      </c>
      <c r="AB243" s="185">
        <f t="shared" si="1166"/>
        <v>0</v>
      </c>
      <c r="AC243" s="187">
        <f t="shared" si="1167"/>
        <v>0</v>
      </c>
      <c r="AD243" s="187"/>
      <c r="AE243" s="118">
        <v>1100</v>
      </c>
      <c r="AF243" s="182"/>
      <c r="AH243" s="15">
        <v>1005</v>
      </c>
      <c r="AI243" s="17">
        <f t="shared" si="1168"/>
        <v>0.91363636363636369</v>
      </c>
      <c r="AX243" s="15"/>
      <c r="BD243" s="15"/>
      <c r="BG243" s="15"/>
      <c r="BM243" s="15">
        <v>1500</v>
      </c>
      <c r="BQ243" s="15"/>
      <c r="BR243" s="15">
        <f t="shared" si="1169"/>
        <v>1500</v>
      </c>
      <c r="BT243" s="15"/>
      <c r="BU243" s="15">
        <f t="shared" si="1170"/>
        <v>1500</v>
      </c>
      <c r="BW243" s="15"/>
      <c r="BX243" s="15">
        <f t="shared" si="1171"/>
        <v>1500</v>
      </c>
      <c r="BZ243" s="15"/>
      <c r="CA243" s="15">
        <f t="shared" si="1172"/>
        <v>1500</v>
      </c>
      <c r="CC243" s="15"/>
      <c r="CD243" s="15">
        <f t="shared" si="1173"/>
        <v>1500</v>
      </c>
      <c r="CF243" s="15"/>
      <c r="CG243" s="15">
        <f t="shared" si="1174"/>
        <v>1500</v>
      </c>
      <c r="CI243" s="15"/>
      <c r="CJ243" s="15">
        <f t="shared" si="1175"/>
        <v>1500</v>
      </c>
      <c r="CM243" s="15">
        <f t="shared" si="1176"/>
        <v>1500</v>
      </c>
      <c r="CP243" s="15">
        <f t="shared" si="1159"/>
        <v>1500</v>
      </c>
      <c r="CS243" s="15">
        <f t="shared" si="1160"/>
        <v>1500</v>
      </c>
      <c r="CV243" s="15">
        <f t="shared" si="1161"/>
        <v>1500</v>
      </c>
      <c r="CY243" s="15">
        <f t="shared" si="1162"/>
        <v>1500</v>
      </c>
      <c r="DA243" s="15">
        <v>0</v>
      </c>
      <c r="DE243" s="15"/>
      <c r="DH243" s="15"/>
      <c r="DK243" s="15"/>
      <c r="DN243" s="15"/>
      <c r="DQ243" s="15"/>
      <c r="DT243" s="15"/>
      <c r="DW243" s="15"/>
      <c r="DZ243" s="15"/>
      <c r="EC243" s="15"/>
      <c r="EF243" s="15"/>
      <c r="EK243" s="15"/>
      <c r="EM243" s="15"/>
      <c r="EP243" s="15"/>
      <c r="ES243" s="15"/>
    </row>
    <row r="244" spans="1:178" outlineLevel="1">
      <c r="A244" s="13" t="s">
        <v>349</v>
      </c>
      <c r="B244" s="1" t="s">
        <v>220</v>
      </c>
      <c r="C244" s="4" t="s">
        <v>221</v>
      </c>
      <c r="D244" s="36"/>
      <c r="E244" s="51"/>
      <c r="F244" s="36"/>
      <c r="G244" s="51"/>
      <c r="H244" s="36"/>
      <c r="I244" s="36"/>
      <c r="J244" s="14"/>
      <c r="K244" t="s">
        <v>332</v>
      </c>
      <c r="L244" s="118">
        <v>100</v>
      </c>
      <c r="M244" s="17" t="e">
        <f t="shared" si="1163"/>
        <v>#DIV/0!</v>
      </c>
      <c r="N244" s="17" t="e">
        <f>L244/I244-1</f>
        <v>#DIV/0!</v>
      </c>
      <c r="Q244" s="118">
        <f>L244</f>
        <v>100</v>
      </c>
      <c r="R244" s="15">
        <v>0</v>
      </c>
      <c r="S244" s="118">
        <f>Q244</f>
        <v>100</v>
      </c>
      <c r="T244" s="15">
        <f t="shared" si="1164"/>
        <v>0</v>
      </c>
      <c r="U244" s="16">
        <f t="shared" si="1165"/>
        <v>0</v>
      </c>
      <c r="Y244" s="118">
        <v>100</v>
      </c>
      <c r="AA244" s="118">
        <v>100</v>
      </c>
      <c r="AB244" s="185">
        <f t="shared" si="1166"/>
        <v>0</v>
      </c>
      <c r="AC244" s="187">
        <f t="shared" si="1167"/>
        <v>0</v>
      </c>
      <c r="AD244" s="187"/>
      <c r="AE244" s="118">
        <v>100</v>
      </c>
      <c r="AF244" s="182"/>
      <c r="AH244" s="15">
        <v>38</v>
      </c>
      <c r="AI244" s="17">
        <f t="shared" si="1168"/>
        <v>0.38</v>
      </c>
      <c r="AX244" s="15"/>
      <c r="BD244" s="15"/>
      <c r="BG244" s="15"/>
      <c r="BM244" s="15">
        <v>100</v>
      </c>
      <c r="BQ244" s="15"/>
      <c r="BR244" s="15">
        <f t="shared" si="1169"/>
        <v>100</v>
      </c>
      <c r="BT244" s="15"/>
      <c r="BU244" s="15">
        <f t="shared" si="1170"/>
        <v>100</v>
      </c>
      <c r="BW244" s="15"/>
      <c r="BX244" s="15">
        <f t="shared" si="1171"/>
        <v>100</v>
      </c>
      <c r="BZ244" s="15"/>
      <c r="CA244" s="15">
        <f t="shared" si="1172"/>
        <v>100</v>
      </c>
      <c r="CC244" s="15"/>
      <c r="CD244" s="15">
        <f t="shared" si="1173"/>
        <v>100</v>
      </c>
      <c r="CF244" s="15"/>
      <c r="CG244" s="15">
        <f t="shared" si="1174"/>
        <v>100</v>
      </c>
      <c r="CI244" s="15"/>
      <c r="CJ244" s="15">
        <f t="shared" si="1175"/>
        <v>100</v>
      </c>
      <c r="CM244" s="15">
        <f t="shared" si="1176"/>
        <v>100</v>
      </c>
      <c r="CP244" s="15">
        <f t="shared" si="1159"/>
        <v>100</v>
      </c>
      <c r="CS244" s="15">
        <f t="shared" si="1160"/>
        <v>100</v>
      </c>
      <c r="CV244" s="15">
        <f t="shared" si="1161"/>
        <v>100</v>
      </c>
      <c r="CY244" s="15">
        <f t="shared" si="1162"/>
        <v>100</v>
      </c>
      <c r="DA244" s="15">
        <v>0</v>
      </c>
      <c r="DE244" s="15"/>
      <c r="DH244" s="15"/>
      <c r="DK244" s="15"/>
      <c r="DN244" s="15"/>
      <c r="DQ244" s="15"/>
      <c r="DT244" s="15"/>
      <c r="DW244" s="15"/>
      <c r="DZ244" s="15"/>
      <c r="EC244" s="15"/>
      <c r="EF244" s="15"/>
      <c r="EK244" s="15">
        <v>500</v>
      </c>
      <c r="EM244" s="15"/>
      <c r="EN244" s="15">
        <f t="shared" ref="EN244:EN246" si="1187">EK244+EM244</f>
        <v>500</v>
      </c>
      <c r="EP244" s="15"/>
      <c r="EQ244" s="15">
        <f t="shared" ref="EQ244:EQ246" si="1188">EN244+EP244</f>
        <v>500</v>
      </c>
      <c r="ES244" s="15"/>
      <c r="ET244" s="15">
        <f t="shared" ref="ET244:ET246" si="1189">EQ244+ES244</f>
        <v>500</v>
      </c>
      <c r="EW244" s="15">
        <f t="shared" ref="EW244:EW246" si="1190">ET244+EV244</f>
        <v>500</v>
      </c>
      <c r="EZ244" s="15">
        <f t="shared" ref="EZ244:EZ246" si="1191">EW244+EY244</f>
        <v>500</v>
      </c>
      <c r="FC244" s="15">
        <f t="shared" ref="FC244:FC246" si="1192">EZ244+FB244</f>
        <v>500</v>
      </c>
      <c r="FE244" s="227">
        <v>-500</v>
      </c>
      <c r="FF244" s="15">
        <f t="shared" ref="FF244:FF246" si="1193">FC244+FE244</f>
        <v>0</v>
      </c>
      <c r="FI244" s="15">
        <f t="shared" ref="FI244:FI246" si="1194">FF244+FH244</f>
        <v>0</v>
      </c>
      <c r="FL244" s="15">
        <f t="shared" ref="FL244:FL246" si="1195">FI244+FK244</f>
        <v>0</v>
      </c>
      <c r="FO244" s="15">
        <f t="shared" ref="FO244:FO246" si="1196">FL244+FN244</f>
        <v>0</v>
      </c>
      <c r="FR244" s="15">
        <v>0</v>
      </c>
      <c r="FT244" s="15">
        <v>0</v>
      </c>
    </row>
    <row r="245" spans="1:178" outlineLevel="1">
      <c r="A245" s="13" t="s">
        <v>349</v>
      </c>
      <c r="B245" s="1" t="s">
        <v>206</v>
      </c>
      <c r="C245" s="4" t="s">
        <v>207</v>
      </c>
      <c r="D245" s="36"/>
      <c r="E245" s="51"/>
      <c r="F245" s="36"/>
      <c r="G245" s="51"/>
      <c r="H245" s="36"/>
      <c r="I245" s="36"/>
      <c r="J245" s="14"/>
      <c r="K245" t="s">
        <v>332</v>
      </c>
      <c r="L245" s="118">
        <v>2000</v>
      </c>
      <c r="M245" s="17" t="e">
        <f t="shared" si="1163"/>
        <v>#DIV/0!</v>
      </c>
      <c r="N245" s="17" t="e">
        <f>L245/I245-1</f>
        <v>#DIV/0!</v>
      </c>
      <c r="Q245" s="118">
        <f>L245</f>
        <v>2000</v>
      </c>
      <c r="R245" s="15">
        <v>0</v>
      </c>
      <c r="S245" s="118">
        <f>Q245</f>
        <v>2000</v>
      </c>
      <c r="T245" s="15">
        <f t="shared" si="1164"/>
        <v>0</v>
      </c>
      <c r="U245" s="16">
        <f t="shared" si="1165"/>
        <v>0</v>
      </c>
      <c r="Y245" s="118">
        <v>2000</v>
      </c>
      <c r="AA245" s="118">
        <v>950</v>
      </c>
      <c r="AB245" s="185">
        <f t="shared" si="1166"/>
        <v>-1050</v>
      </c>
      <c r="AC245" s="187">
        <f t="shared" si="1167"/>
        <v>-1050</v>
      </c>
      <c r="AD245" s="187"/>
      <c r="AE245" s="118">
        <v>950</v>
      </c>
      <c r="AF245" s="182"/>
      <c r="AH245" s="15">
        <v>471</v>
      </c>
      <c r="AI245" s="17">
        <f t="shared" si="1168"/>
        <v>0.4957894736842105</v>
      </c>
      <c r="AX245" s="15"/>
      <c r="BD245" s="15"/>
      <c r="BG245" s="15"/>
      <c r="BM245" s="15">
        <v>700</v>
      </c>
      <c r="BQ245" s="15"/>
      <c r="BR245" s="15">
        <f t="shared" si="1169"/>
        <v>700</v>
      </c>
      <c r="BT245" s="15"/>
      <c r="BU245" s="15">
        <f t="shared" si="1170"/>
        <v>700</v>
      </c>
      <c r="BW245" s="15"/>
      <c r="BX245" s="15">
        <f t="shared" si="1171"/>
        <v>700</v>
      </c>
      <c r="BZ245" s="15"/>
      <c r="CA245" s="15">
        <f t="shared" si="1172"/>
        <v>700</v>
      </c>
      <c r="CC245" s="15"/>
      <c r="CD245" s="15">
        <f t="shared" si="1173"/>
        <v>700</v>
      </c>
      <c r="CF245" s="15"/>
      <c r="CG245" s="15">
        <f t="shared" si="1174"/>
        <v>700</v>
      </c>
      <c r="CI245" s="15"/>
      <c r="CJ245" s="15">
        <f t="shared" si="1175"/>
        <v>700</v>
      </c>
      <c r="CM245" s="15">
        <f t="shared" si="1176"/>
        <v>700</v>
      </c>
      <c r="CP245" s="15">
        <f t="shared" si="1159"/>
        <v>700</v>
      </c>
      <c r="CS245" s="15">
        <f t="shared" si="1160"/>
        <v>700</v>
      </c>
      <c r="CV245" s="15">
        <f t="shared" si="1161"/>
        <v>700</v>
      </c>
      <c r="CY245" s="15">
        <f t="shared" si="1162"/>
        <v>700</v>
      </c>
      <c r="DA245" s="15">
        <v>579</v>
      </c>
      <c r="DE245" s="15"/>
      <c r="DH245" s="15"/>
      <c r="DK245" s="15"/>
      <c r="DN245" s="15"/>
      <c r="DQ245" s="15"/>
      <c r="DT245" s="15"/>
      <c r="DW245" s="15"/>
      <c r="DZ245" s="15"/>
      <c r="EC245" s="15"/>
      <c r="EF245" s="15"/>
      <c r="EK245" s="15">
        <v>1000</v>
      </c>
      <c r="EM245" s="15"/>
      <c r="EN245" s="15">
        <f t="shared" si="1187"/>
        <v>1000</v>
      </c>
      <c r="EP245" s="15"/>
      <c r="EQ245" s="15">
        <f t="shared" si="1188"/>
        <v>1000</v>
      </c>
      <c r="ES245" s="15"/>
      <c r="ET245" s="15">
        <f t="shared" si="1189"/>
        <v>1000</v>
      </c>
      <c r="EW245" s="15">
        <f t="shared" si="1190"/>
        <v>1000</v>
      </c>
      <c r="EZ245" s="15">
        <f t="shared" si="1191"/>
        <v>1000</v>
      </c>
      <c r="FC245" s="15">
        <f t="shared" si="1192"/>
        <v>1000</v>
      </c>
      <c r="FE245" s="227">
        <v>700</v>
      </c>
      <c r="FF245" s="15">
        <f t="shared" si="1193"/>
        <v>1700</v>
      </c>
      <c r="FI245" s="15">
        <f t="shared" si="1194"/>
        <v>1700</v>
      </c>
      <c r="FK245" s="227">
        <v>-11</v>
      </c>
      <c r="FL245" s="15">
        <f t="shared" si="1195"/>
        <v>1689</v>
      </c>
      <c r="FO245" s="15">
        <f t="shared" si="1196"/>
        <v>1689</v>
      </c>
      <c r="FR245" s="15">
        <v>1689</v>
      </c>
      <c r="FT245" s="15">
        <v>1688.4</v>
      </c>
    </row>
    <row r="246" spans="1:178" outlineLevel="1">
      <c r="A246" s="13" t="s">
        <v>349</v>
      </c>
      <c r="B246" s="1" t="s">
        <v>148</v>
      </c>
      <c r="C246" s="4" t="s">
        <v>149</v>
      </c>
      <c r="D246" s="36"/>
      <c r="E246" s="51"/>
      <c r="F246" s="36"/>
      <c r="G246" s="51"/>
      <c r="H246" s="36"/>
      <c r="I246" s="36"/>
      <c r="J246" s="14"/>
      <c r="K246" t="s">
        <v>332</v>
      </c>
      <c r="L246" s="118">
        <v>2000</v>
      </c>
      <c r="M246" s="17" t="e">
        <f t="shared" si="1163"/>
        <v>#DIV/0!</v>
      </c>
      <c r="N246" s="17" t="e">
        <f>L246/I246-1</f>
        <v>#DIV/0!</v>
      </c>
      <c r="Q246" s="118">
        <f>L246</f>
        <v>2000</v>
      </c>
      <c r="R246" s="15">
        <v>0</v>
      </c>
      <c r="S246" s="118">
        <f>Q246</f>
        <v>2000</v>
      </c>
      <c r="T246" s="15">
        <f t="shared" si="1164"/>
        <v>0</v>
      </c>
      <c r="U246" s="16">
        <f t="shared" si="1165"/>
        <v>0</v>
      </c>
      <c r="Y246" s="118">
        <v>2000</v>
      </c>
      <c r="AA246" s="118">
        <v>1100</v>
      </c>
      <c r="AB246" s="185">
        <f t="shared" si="1166"/>
        <v>-900</v>
      </c>
      <c r="AC246" s="187">
        <f t="shared" si="1167"/>
        <v>-900</v>
      </c>
      <c r="AD246" s="187"/>
      <c r="AE246" s="118">
        <v>1100</v>
      </c>
      <c r="AF246" s="182"/>
      <c r="AH246" s="15">
        <v>1044</v>
      </c>
      <c r="AI246" s="17">
        <f t="shared" si="1168"/>
        <v>0.9490909090909091</v>
      </c>
      <c r="AX246" s="15"/>
      <c r="BD246" s="15"/>
      <c r="BG246" s="15"/>
      <c r="BM246" s="15">
        <v>2000</v>
      </c>
      <c r="BQ246" s="15"/>
      <c r="BR246" s="15">
        <f t="shared" si="1169"/>
        <v>2000</v>
      </c>
      <c r="BT246" s="15"/>
      <c r="BU246" s="15">
        <f t="shared" si="1170"/>
        <v>2000</v>
      </c>
      <c r="BW246" s="15"/>
      <c r="BX246" s="15">
        <f t="shared" si="1171"/>
        <v>2000</v>
      </c>
      <c r="BZ246" s="15"/>
      <c r="CA246" s="15">
        <f t="shared" si="1172"/>
        <v>2000</v>
      </c>
      <c r="CC246" s="15"/>
      <c r="CD246" s="15">
        <f t="shared" si="1173"/>
        <v>2000</v>
      </c>
      <c r="CF246" s="15"/>
      <c r="CG246" s="15">
        <f t="shared" si="1174"/>
        <v>2000</v>
      </c>
      <c r="CI246" s="15"/>
      <c r="CJ246" s="15">
        <f t="shared" si="1175"/>
        <v>2000</v>
      </c>
      <c r="CM246" s="15">
        <f t="shared" si="1176"/>
        <v>2000</v>
      </c>
      <c r="CP246" s="15">
        <f t="shared" si="1159"/>
        <v>2000</v>
      </c>
      <c r="CS246" s="15">
        <f t="shared" si="1160"/>
        <v>2000</v>
      </c>
      <c r="CV246" s="15">
        <f t="shared" si="1161"/>
        <v>2000</v>
      </c>
      <c r="CY246" s="15">
        <f t="shared" si="1162"/>
        <v>2000</v>
      </c>
      <c r="DA246" s="15">
        <v>960</v>
      </c>
      <c r="DE246" s="15"/>
      <c r="DH246" s="15"/>
      <c r="DK246" s="15"/>
      <c r="DN246" s="15"/>
      <c r="DQ246" s="15"/>
      <c r="DT246" s="15"/>
      <c r="DW246" s="15"/>
      <c r="DZ246" s="15"/>
      <c r="EC246" s="15"/>
      <c r="EF246" s="15"/>
      <c r="EK246" s="15">
        <v>2000</v>
      </c>
      <c r="EM246" s="15"/>
      <c r="EN246" s="15">
        <f t="shared" si="1187"/>
        <v>2000</v>
      </c>
      <c r="EP246" s="15"/>
      <c r="EQ246" s="15">
        <f t="shared" si="1188"/>
        <v>2000</v>
      </c>
      <c r="ES246" s="15"/>
      <c r="ET246" s="15">
        <f t="shared" si="1189"/>
        <v>2000</v>
      </c>
      <c r="EW246" s="15">
        <f t="shared" si="1190"/>
        <v>2000</v>
      </c>
      <c r="EZ246" s="15">
        <f t="shared" si="1191"/>
        <v>2000</v>
      </c>
      <c r="FC246" s="15">
        <f t="shared" si="1192"/>
        <v>2000</v>
      </c>
      <c r="FE246" s="227">
        <v>250</v>
      </c>
      <c r="FF246" s="15">
        <f t="shared" si="1193"/>
        <v>2250</v>
      </c>
      <c r="FI246" s="15">
        <f t="shared" si="1194"/>
        <v>2250</v>
      </c>
      <c r="FK246" s="227">
        <v>-10</v>
      </c>
      <c r="FL246" s="15">
        <f t="shared" si="1195"/>
        <v>2240</v>
      </c>
      <c r="FO246" s="15">
        <f t="shared" si="1196"/>
        <v>2240</v>
      </c>
      <c r="FR246" s="15">
        <v>2240</v>
      </c>
      <c r="FT246" s="15">
        <v>2240</v>
      </c>
    </row>
    <row r="247" spans="1:178" outlineLevel="1">
      <c r="A247" s="195" t="s">
        <v>349</v>
      </c>
      <c r="B247" s="194" t="s">
        <v>46</v>
      </c>
      <c r="C247" s="4" t="s">
        <v>652</v>
      </c>
      <c r="D247" s="36"/>
      <c r="E247" s="51"/>
      <c r="F247" s="36"/>
      <c r="G247" s="51"/>
      <c r="H247" s="36"/>
      <c r="I247" s="36"/>
      <c r="J247" s="14"/>
      <c r="M247" s="17"/>
      <c r="N247" s="17"/>
      <c r="U247" s="16"/>
      <c r="Y247" s="118"/>
      <c r="AB247" s="185"/>
      <c r="AC247" s="187"/>
      <c r="AD247" s="187"/>
      <c r="AF247" s="182"/>
      <c r="AH247" s="15"/>
      <c r="AI247" s="17"/>
      <c r="AX247" s="15"/>
      <c r="BD247" s="15"/>
      <c r="BG247" s="15"/>
      <c r="DE247" s="15"/>
      <c r="DH247" s="15"/>
      <c r="DK247" s="15"/>
      <c r="DN247" s="15"/>
      <c r="DQ247" s="15"/>
      <c r="DT247" s="15"/>
      <c r="DW247" s="15"/>
      <c r="DZ247" s="15"/>
      <c r="EC247" s="15"/>
      <c r="EF247" s="15"/>
      <c r="EK247" s="15"/>
      <c r="EM247" s="15"/>
      <c r="EP247" s="15"/>
      <c r="ES247" s="15"/>
    </row>
    <row r="248" spans="1:178" outlineLevel="1">
      <c r="A248" s="378" t="s">
        <v>219</v>
      </c>
      <c r="B248" s="378" t="s">
        <v>142</v>
      </c>
      <c r="C248" s="379" t="s">
        <v>143</v>
      </c>
      <c r="D248" s="380">
        <v>16000</v>
      </c>
      <c r="E248" s="381">
        <v>73.650000000000006</v>
      </c>
      <c r="F248" s="380">
        <v>36000</v>
      </c>
      <c r="G248" s="381">
        <v>32.729999999999997</v>
      </c>
      <c r="H248" s="382">
        <v>11784</v>
      </c>
      <c r="I248" s="383">
        <v>11784</v>
      </c>
      <c r="J248" s="384"/>
      <c r="K248" s="220"/>
      <c r="L248" s="385"/>
      <c r="M248" s="385"/>
      <c r="N248" s="387"/>
      <c r="O248" s="220"/>
      <c r="P248" s="386"/>
      <c r="Q248" s="220"/>
      <c r="R248" s="220"/>
      <c r="S248" s="385"/>
      <c r="T248" s="220"/>
      <c r="U248" s="386"/>
      <c r="V248" s="220"/>
      <c r="W248" s="220"/>
      <c r="X248" s="386"/>
      <c r="Y248" s="388"/>
      <c r="Z248" s="388"/>
      <c r="AA248" s="220"/>
      <c r="AB248" s="388"/>
      <c r="AC248" s="388"/>
      <c r="AD248" s="220"/>
      <c r="AE248" s="220"/>
      <c r="AF248" s="386"/>
      <c r="AG248" s="220"/>
      <c r="AH248" s="220"/>
      <c r="AI248" s="386"/>
      <c r="AJ248" s="220"/>
      <c r="AK248" s="386"/>
      <c r="AL248" s="220"/>
      <c r="AM248" s="220"/>
      <c r="AN248" s="386"/>
      <c r="AO248" s="220"/>
      <c r="AQ248" s="386"/>
      <c r="AR248" s="220"/>
      <c r="AS248" s="386">
        <v>15000</v>
      </c>
      <c r="AT248" s="220"/>
      <c r="AU248" s="220"/>
      <c r="AV248" s="220"/>
      <c r="AW248" s="220"/>
      <c r="AX248" s="220"/>
      <c r="AY248" s="220"/>
      <c r="AZ248" s="220"/>
      <c r="BA248" s="220"/>
      <c r="BB248" s="220"/>
      <c r="BC248" s="220"/>
      <c r="BD248" s="220"/>
      <c r="BE248" s="220"/>
      <c r="BF248" s="220"/>
      <c r="BG248" s="220"/>
      <c r="BH248" s="220"/>
      <c r="BI248" s="220"/>
      <c r="BJ248" s="220"/>
      <c r="BK248" s="220"/>
      <c r="BL248" s="220"/>
      <c r="BM248" s="220"/>
      <c r="BN248" s="220"/>
      <c r="BO248" s="220"/>
      <c r="BP248" s="220"/>
      <c r="BQ248" s="220"/>
      <c r="BR248" s="220"/>
      <c r="BS248" s="220"/>
      <c r="BT248" s="220"/>
      <c r="BU248" s="220"/>
      <c r="BV248" s="220"/>
      <c r="BW248" s="220"/>
      <c r="BX248" s="220"/>
      <c r="BY248" s="220"/>
      <c r="BZ248" s="220"/>
      <c r="CA248" s="220"/>
      <c r="CB248" s="220"/>
      <c r="CC248" s="220"/>
      <c r="CD248" s="220"/>
      <c r="CE248" s="220"/>
      <c r="CF248" s="220"/>
      <c r="CG248" s="220"/>
      <c r="CH248" s="220"/>
      <c r="CI248" s="220"/>
      <c r="CJ248" s="220"/>
      <c r="CK248" s="220"/>
      <c r="CL248" s="220"/>
      <c r="CM248" s="220"/>
      <c r="CN248" s="220"/>
      <c r="CO248" s="220"/>
      <c r="CP248" s="220"/>
      <c r="CQ248" s="220"/>
      <c r="CR248" s="220"/>
      <c r="CS248" s="220"/>
      <c r="CT248" s="220"/>
      <c r="CU248" s="220"/>
      <c r="CV248" s="220"/>
      <c r="CW248" s="220"/>
      <c r="CX248" s="220"/>
      <c r="CY248" s="220"/>
      <c r="CZ248" s="220"/>
      <c r="DA248" s="220"/>
      <c r="DB248" s="220"/>
      <c r="DC248" s="220"/>
      <c r="DD248" s="220"/>
      <c r="DE248" s="220"/>
      <c r="DF248" s="220"/>
      <c r="DG248" s="220"/>
      <c r="DH248" s="220"/>
      <c r="DI248" s="220"/>
      <c r="DJ248" s="220"/>
      <c r="DK248" s="220"/>
      <c r="DL248" s="220"/>
      <c r="DM248" s="220"/>
      <c r="DN248" s="220"/>
      <c r="DO248" s="220"/>
      <c r="DP248" s="220"/>
      <c r="DQ248" s="220"/>
      <c r="DR248" s="220"/>
      <c r="DS248" s="220"/>
      <c r="DT248" s="220"/>
      <c r="DU248" s="220"/>
      <c r="DV248" s="220"/>
      <c r="DW248" s="220"/>
      <c r="DX248" s="220"/>
      <c r="DY248" s="220"/>
      <c r="DZ248" s="220"/>
      <c r="EA248" s="220"/>
      <c r="EB248" s="220"/>
      <c r="EC248" s="220"/>
      <c r="ED248" s="220"/>
      <c r="EE248" s="220"/>
      <c r="EF248" s="220"/>
      <c r="EG248" s="220"/>
      <c r="EH248" s="220"/>
      <c r="EI248" s="386"/>
      <c r="EJ248" s="220"/>
      <c r="EK248" s="220">
        <v>20000</v>
      </c>
      <c r="EL248" s="220"/>
      <c r="EM248" s="220"/>
      <c r="EN248" s="386">
        <f t="shared" ref="EN248:EN252" si="1197">EK248+EM248</f>
        <v>20000</v>
      </c>
      <c r="EO248" s="220"/>
      <c r="EP248" s="220"/>
      <c r="EQ248" s="386">
        <f t="shared" ref="EQ248:EQ252" si="1198">EN248+EP248</f>
        <v>20000</v>
      </c>
      <c r="ER248" s="220"/>
      <c r="ES248" s="220"/>
      <c r="ET248" s="386">
        <f t="shared" ref="ET248:ET252" si="1199">EQ248+ES248</f>
        <v>20000</v>
      </c>
      <c r="EU248" s="220"/>
      <c r="EV248" s="227">
        <f>10174-20000</f>
        <v>-9826</v>
      </c>
      <c r="EW248" s="386">
        <f t="shared" ref="EW248:EW252" si="1200">ET248+EV248</f>
        <v>10174</v>
      </c>
      <c r="EX248" s="220"/>
      <c r="EY248" s="220"/>
      <c r="EZ248" s="386">
        <f t="shared" ref="EZ248:EZ252" si="1201">EW248+EY248</f>
        <v>10174</v>
      </c>
      <c r="FB248" s="220"/>
      <c r="FC248" s="386">
        <f t="shared" ref="FC248:FC252" si="1202">EZ248+FB248</f>
        <v>10174</v>
      </c>
      <c r="FE248" s="220"/>
      <c r="FF248" s="386">
        <f t="shared" ref="FF248:FF252" si="1203">FC248+FE248</f>
        <v>10174</v>
      </c>
      <c r="FH248" s="220"/>
      <c r="FI248" s="386">
        <f t="shared" ref="FI248:FI252" si="1204">FF248+FH248</f>
        <v>10174</v>
      </c>
      <c r="FK248" s="227">
        <f>8074-10174</f>
        <v>-2100</v>
      </c>
      <c r="FL248" s="386">
        <f t="shared" ref="FL248:FL252" si="1205">FI248+FK248</f>
        <v>8074</v>
      </c>
      <c r="FN248" s="386"/>
      <c r="FO248" s="386">
        <f t="shared" ref="FO248:FO252" si="1206">FL248+FN248</f>
        <v>8074</v>
      </c>
      <c r="FQ248" s="386"/>
      <c r="FR248" s="386">
        <v>8074</v>
      </c>
      <c r="FT248" s="386">
        <v>10174</v>
      </c>
      <c r="FV248" s="386"/>
    </row>
    <row r="249" spans="1:178" outlineLevel="1">
      <c r="A249" s="378" t="s">
        <v>219</v>
      </c>
      <c r="B249" s="378" t="s">
        <v>146</v>
      </c>
      <c r="C249" s="379" t="s">
        <v>147</v>
      </c>
      <c r="D249" s="380">
        <v>2000</v>
      </c>
      <c r="E249" s="381">
        <v>0</v>
      </c>
      <c r="F249" s="380">
        <v>3000</v>
      </c>
      <c r="G249" s="381">
        <v>0</v>
      </c>
      <c r="H249" s="382">
        <v>0</v>
      </c>
      <c r="I249" s="383">
        <v>0</v>
      </c>
      <c r="J249" s="384"/>
      <c r="K249" s="220"/>
      <c r="L249" s="385"/>
      <c r="M249" s="385"/>
      <c r="N249" s="387"/>
      <c r="O249" s="220"/>
      <c r="P249" s="386"/>
      <c r="Q249" s="220"/>
      <c r="R249" s="220"/>
      <c r="S249" s="385"/>
      <c r="T249" s="220"/>
      <c r="U249" s="386"/>
      <c r="V249" s="220"/>
      <c r="W249" s="220"/>
      <c r="X249" s="386"/>
      <c r="Y249" s="388"/>
      <c r="Z249" s="388"/>
      <c r="AA249" s="220"/>
      <c r="AB249" s="388"/>
      <c r="AC249" s="388"/>
      <c r="AD249" s="220"/>
      <c r="AE249" s="220"/>
      <c r="AF249" s="386"/>
      <c r="AG249" s="220"/>
      <c r="AH249" s="220"/>
      <c r="AI249" s="386"/>
      <c r="AJ249" s="220"/>
      <c r="AK249" s="386"/>
      <c r="AL249" s="220"/>
      <c r="AM249" s="220"/>
      <c r="AN249" s="386"/>
      <c r="AO249" s="220"/>
      <c r="AQ249" s="386"/>
      <c r="AR249" s="220"/>
      <c r="AS249" s="386"/>
      <c r="AT249" s="220"/>
      <c r="AU249" s="220"/>
      <c r="AV249" s="220"/>
      <c r="AW249" s="220"/>
      <c r="AX249" s="220"/>
      <c r="AY249" s="220"/>
      <c r="AZ249" s="220"/>
      <c r="BA249" s="220"/>
      <c r="BB249" s="220"/>
      <c r="BC249" s="220"/>
      <c r="BD249" s="220"/>
      <c r="BE249" s="220"/>
      <c r="BF249" s="220"/>
      <c r="BG249" s="220"/>
      <c r="BH249" s="220"/>
      <c r="BI249" s="220"/>
      <c r="BJ249" s="220"/>
      <c r="BK249" s="220"/>
      <c r="BL249" s="220"/>
      <c r="BM249" s="220"/>
      <c r="BN249" s="220"/>
      <c r="BO249" s="220"/>
      <c r="BP249" s="220"/>
      <c r="BQ249" s="220"/>
      <c r="BR249" s="220"/>
      <c r="BS249" s="220"/>
      <c r="BT249" s="220"/>
      <c r="BU249" s="220"/>
      <c r="BV249" s="220"/>
      <c r="BW249" s="220"/>
      <c r="BX249" s="220"/>
      <c r="BY249" s="220"/>
      <c r="BZ249" s="220"/>
      <c r="CA249" s="220"/>
      <c r="CB249" s="220"/>
      <c r="CC249" s="220"/>
      <c r="CD249" s="220"/>
      <c r="CE249" s="220"/>
      <c r="CF249" s="220"/>
      <c r="CG249" s="220"/>
      <c r="CH249" s="220"/>
      <c r="CI249" s="220"/>
      <c r="CJ249" s="220"/>
      <c r="CK249" s="220"/>
      <c r="CL249" s="220"/>
      <c r="CM249" s="220"/>
      <c r="CN249" s="220"/>
      <c r="CO249" s="220"/>
      <c r="CP249" s="220"/>
      <c r="CQ249" s="220"/>
      <c r="CR249" s="220"/>
      <c r="CS249" s="220"/>
      <c r="CT249" s="220"/>
      <c r="CU249" s="220"/>
      <c r="CV249" s="220"/>
      <c r="CW249" s="220"/>
      <c r="CX249" s="220"/>
      <c r="CY249" s="220"/>
      <c r="CZ249" s="220"/>
      <c r="DA249" s="220"/>
      <c r="DB249" s="220"/>
      <c r="DC249" s="220"/>
      <c r="DD249" s="220"/>
      <c r="DE249" s="220"/>
      <c r="DF249" s="220"/>
      <c r="DG249" s="220"/>
      <c r="DH249" s="220"/>
      <c r="DI249" s="220"/>
      <c r="DJ249" s="220"/>
      <c r="DK249" s="220"/>
      <c r="DL249" s="220"/>
      <c r="DM249" s="220"/>
      <c r="DN249" s="220"/>
      <c r="DO249" s="220"/>
      <c r="DP249" s="220"/>
      <c r="DQ249" s="220"/>
      <c r="DR249" s="220"/>
      <c r="DS249" s="220"/>
      <c r="DT249" s="220"/>
      <c r="DU249" s="220"/>
      <c r="DV249" s="220"/>
      <c r="DW249" s="220"/>
      <c r="DX249" s="220"/>
      <c r="DY249" s="220"/>
      <c r="DZ249" s="220"/>
      <c r="EA249" s="220"/>
      <c r="EB249" s="220"/>
      <c r="EC249" s="220"/>
      <c r="ED249" s="220"/>
      <c r="EE249" s="220"/>
      <c r="EF249" s="220"/>
      <c r="EG249" s="220"/>
      <c r="EH249" s="220"/>
      <c r="EI249" s="386"/>
      <c r="EJ249" s="220"/>
      <c r="EK249" s="220"/>
      <c r="EL249" s="220"/>
      <c r="EM249" s="220"/>
      <c r="EN249" s="386">
        <f t="shared" si="1197"/>
        <v>0</v>
      </c>
      <c r="EO249" s="220"/>
      <c r="EP249" s="220"/>
      <c r="EQ249" s="386">
        <f t="shared" si="1198"/>
        <v>0</v>
      </c>
      <c r="ER249" s="220"/>
      <c r="ES249" s="220"/>
      <c r="ET249" s="386">
        <f t="shared" si="1199"/>
        <v>0</v>
      </c>
      <c r="EU249" s="220"/>
      <c r="EV249" s="227">
        <v>202</v>
      </c>
      <c r="EW249" s="386">
        <f t="shared" si="1200"/>
        <v>202</v>
      </c>
      <c r="EX249" s="220"/>
      <c r="EY249" s="220"/>
      <c r="EZ249" s="386">
        <f t="shared" si="1201"/>
        <v>202</v>
      </c>
      <c r="FB249" s="220"/>
      <c r="FC249" s="386">
        <f t="shared" si="1202"/>
        <v>202</v>
      </c>
      <c r="FE249" s="220"/>
      <c r="FF249" s="386">
        <f t="shared" si="1203"/>
        <v>202</v>
      </c>
      <c r="FH249" s="220"/>
      <c r="FI249" s="386">
        <f t="shared" si="1204"/>
        <v>202</v>
      </c>
      <c r="FK249" s="386"/>
      <c r="FL249" s="386">
        <f t="shared" si="1205"/>
        <v>202</v>
      </c>
      <c r="FN249" s="386"/>
      <c r="FO249" s="386">
        <f t="shared" si="1206"/>
        <v>202</v>
      </c>
      <c r="FQ249" s="386"/>
      <c r="FR249" s="386">
        <v>202</v>
      </c>
      <c r="FT249" s="386">
        <v>202</v>
      </c>
      <c r="FV249" s="386"/>
    </row>
    <row r="250" spans="1:178" outlineLevel="1">
      <c r="A250" s="378" t="s">
        <v>219</v>
      </c>
      <c r="B250" s="378" t="s">
        <v>220</v>
      </c>
      <c r="C250" s="379" t="s">
        <v>221</v>
      </c>
      <c r="D250" s="380">
        <v>0</v>
      </c>
      <c r="E250" s="381">
        <v>0</v>
      </c>
      <c r="F250" s="380">
        <v>38</v>
      </c>
      <c r="G250" s="381">
        <v>100</v>
      </c>
      <c r="H250" s="382">
        <v>38</v>
      </c>
      <c r="I250" s="383">
        <v>38</v>
      </c>
      <c r="J250" s="384"/>
      <c r="K250" s="220"/>
      <c r="L250" s="385"/>
      <c r="M250" s="385"/>
      <c r="N250" s="387"/>
      <c r="O250" s="220"/>
      <c r="P250" s="386"/>
      <c r="Q250" s="220"/>
      <c r="R250" s="220"/>
      <c r="S250" s="385"/>
      <c r="T250" s="220"/>
      <c r="U250" s="386"/>
      <c r="V250" s="220"/>
      <c r="W250" s="220"/>
      <c r="X250" s="386"/>
      <c r="Y250" s="388"/>
      <c r="Z250" s="388"/>
      <c r="AA250" s="220"/>
      <c r="AB250" s="388"/>
      <c r="AC250" s="388"/>
      <c r="AD250" s="220"/>
      <c r="AE250" s="220"/>
      <c r="AF250" s="386"/>
      <c r="AG250" s="220"/>
      <c r="AH250" s="220"/>
      <c r="AI250" s="386"/>
      <c r="AJ250" s="220"/>
      <c r="AK250" s="386"/>
      <c r="AL250" s="220"/>
      <c r="AM250" s="220"/>
      <c r="AN250" s="386"/>
      <c r="AO250" s="220"/>
      <c r="AQ250" s="386"/>
      <c r="AR250" s="220"/>
      <c r="AS250" s="386">
        <v>500</v>
      </c>
      <c r="AT250" s="220"/>
      <c r="AU250" s="220"/>
      <c r="AV250" s="220"/>
      <c r="AW250" s="220"/>
      <c r="AX250" s="220"/>
      <c r="AY250" s="220"/>
      <c r="AZ250" s="220"/>
      <c r="BA250" s="220"/>
      <c r="BB250" s="220"/>
      <c r="BC250" s="220"/>
      <c r="BD250" s="220"/>
      <c r="BE250" s="220"/>
      <c r="BF250" s="220"/>
      <c r="BG250" s="220"/>
      <c r="BH250" s="220"/>
      <c r="BI250" s="220"/>
      <c r="BJ250" s="220"/>
      <c r="BK250" s="220"/>
      <c r="BL250" s="220"/>
      <c r="BM250" s="220"/>
      <c r="BN250" s="220"/>
      <c r="BO250" s="220"/>
      <c r="BP250" s="220"/>
      <c r="BQ250" s="220"/>
      <c r="BR250" s="220"/>
      <c r="BS250" s="220"/>
      <c r="BT250" s="220"/>
      <c r="BU250" s="220"/>
      <c r="BV250" s="220"/>
      <c r="BW250" s="220"/>
      <c r="BX250" s="220"/>
      <c r="BY250" s="220"/>
      <c r="BZ250" s="220"/>
      <c r="CA250" s="220"/>
      <c r="CB250" s="220"/>
      <c r="CC250" s="220"/>
      <c r="CD250" s="220"/>
      <c r="CE250" s="220"/>
      <c r="CF250" s="220"/>
      <c r="CG250" s="220"/>
      <c r="CH250" s="220"/>
      <c r="CI250" s="220"/>
      <c r="CJ250" s="220"/>
      <c r="CK250" s="220"/>
      <c r="CL250" s="220"/>
      <c r="CM250" s="220"/>
      <c r="CN250" s="220"/>
      <c r="CO250" s="220"/>
      <c r="CP250" s="220"/>
      <c r="CQ250" s="220"/>
      <c r="CR250" s="220"/>
      <c r="CS250" s="220"/>
      <c r="CT250" s="220"/>
      <c r="CU250" s="220"/>
      <c r="CV250" s="220"/>
      <c r="CW250" s="220"/>
      <c r="CX250" s="220"/>
      <c r="CY250" s="220"/>
      <c r="CZ250" s="220"/>
      <c r="DA250" s="220"/>
      <c r="DB250" s="220"/>
      <c r="DC250" s="220"/>
      <c r="DD250" s="220"/>
      <c r="DE250" s="220"/>
      <c r="DF250" s="220"/>
      <c r="DG250" s="220"/>
      <c r="DH250" s="220"/>
      <c r="DI250" s="220"/>
      <c r="DJ250" s="220"/>
      <c r="DK250" s="220"/>
      <c r="DL250" s="220"/>
      <c r="DM250" s="220"/>
      <c r="DN250" s="220"/>
      <c r="DO250" s="220"/>
      <c r="DP250" s="220"/>
      <c r="DQ250" s="220"/>
      <c r="DR250" s="220"/>
      <c r="DS250" s="220"/>
      <c r="DT250" s="220"/>
      <c r="DU250" s="220"/>
      <c r="DV250" s="220"/>
      <c r="DW250" s="220"/>
      <c r="DX250" s="220"/>
      <c r="DY250" s="220"/>
      <c r="DZ250" s="220"/>
      <c r="EA250" s="220"/>
      <c r="EB250" s="220"/>
      <c r="EC250" s="220"/>
      <c r="ED250" s="220"/>
      <c r="EE250" s="220"/>
      <c r="EF250" s="220"/>
      <c r="EG250" s="220"/>
      <c r="EH250" s="220"/>
      <c r="EI250" s="386"/>
      <c r="EJ250" s="220"/>
      <c r="EK250" s="220">
        <v>500</v>
      </c>
      <c r="EL250" s="220"/>
      <c r="EM250" s="220"/>
      <c r="EN250" s="386">
        <f t="shared" si="1197"/>
        <v>500</v>
      </c>
      <c r="EO250" s="220"/>
      <c r="EP250" s="220"/>
      <c r="EQ250" s="386">
        <f t="shared" si="1198"/>
        <v>500</v>
      </c>
      <c r="ER250" s="220"/>
      <c r="ES250" s="220"/>
      <c r="ET250" s="386">
        <f t="shared" si="1199"/>
        <v>500</v>
      </c>
      <c r="EU250" s="220"/>
      <c r="EV250" s="227">
        <v>-500</v>
      </c>
      <c r="EW250" s="386">
        <f t="shared" si="1200"/>
        <v>0</v>
      </c>
      <c r="EX250" s="220"/>
      <c r="EY250" s="220"/>
      <c r="EZ250" s="386">
        <f t="shared" si="1201"/>
        <v>0</v>
      </c>
      <c r="FB250" s="220"/>
      <c r="FC250" s="386">
        <f t="shared" si="1202"/>
        <v>0</v>
      </c>
      <c r="FE250" s="220"/>
      <c r="FF250" s="386">
        <f t="shared" si="1203"/>
        <v>0</v>
      </c>
      <c r="FH250" s="220"/>
      <c r="FI250" s="386">
        <f t="shared" si="1204"/>
        <v>0</v>
      </c>
      <c r="FK250" s="386"/>
      <c r="FL250" s="386">
        <f t="shared" si="1205"/>
        <v>0</v>
      </c>
      <c r="FN250" s="386"/>
      <c r="FO250" s="386">
        <f t="shared" si="1206"/>
        <v>0</v>
      </c>
      <c r="FQ250" s="386"/>
      <c r="FR250" s="386">
        <v>0</v>
      </c>
      <c r="FT250" s="386"/>
      <c r="FV250" s="386"/>
    </row>
    <row r="251" spans="1:178" outlineLevel="1">
      <c r="A251" s="378" t="s">
        <v>219</v>
      </c>
      <c r="B251" s="378" t="s">
        <v>206</v>
      </c>
      <c r="C251" s="379" t="s">
        <v>207</v>
      </c>
      <c r="D251" s="380">
        <v>5000</v>
      </c>
      <c r="E251" s="381">
        <v>12.82</v>
      </c>
      <c r="F251" s="380">
        <v>9962</v>
      </c>
      <c r="G251" s="381">
        <v>6.43</v>
      </c>
      <c r="H251" s="382">
        <v>641</v>
      </c>
      <c r="I251" s="383">
        <v>641</v>
      </c>
      <c r="J251" s="384"/>
      <c r="K251" s="220"/>
      <c r="L251" s="385"/>
      <c r="M251" s="385"/>
      <c r="N251" s="387"/>
      <c r="O251" s="220"/>
      <c r="P251" s="386"/>
      <c r="Q251" s="220"/>
      <c r="R251" s="220"/>
      <c r="S251" s="385"/>
      <c r="T251" s="220"/>
      <c r="U251" s="386"/>
      <c r="V251" s="220"/>
      <c r="W251" s="220"/>
      <c r="X251" s="386"/>
      <c r="Y251" s="388"/>
      <c r="Z251" s="388"/>
      <c r="AA251" s="220"/>
      <c r="AB251" s="388"/>
      <c r="AC251" s="388"/>
      <c r="AD251" s="220"/>
      <c r="AE251" s="220"/>
      <c r="AF251" s="386"/>
      <c r="AG251" s="220"/>
      <c r="AH251" s="220"/>
      <c r="AI251" s="386"/>
      <c r="AJ251" s="220"/>
      <c r="AK251" s="386"/>
      <c r="AL251" s="220"/>
      <c r="AM251" s="220"/>
      <c r="AN251" s="386"/>
      <c r="AO251" s="220"/>
      <c r="AQ251" s="386"/>
      <c r="AR251" s="220"/>
      <c r="AS251" s="386">
        <v>1500</v>
      </c>
      <c r="AT251" s="220"/>
      <c r="AU251" s="220"/>
      <c r="AV251" s="220"/>
      <c r="AW251" s="220"/>
      <c r="AX251" s="220"/>
      <c r="AY251" s="220"/>
      <c r="AZ251" s="220"/>
      <c r="BA251" s="220"/>
      <c r="BB251" s="220"/>
      <c r="BC251" s="220"/>
      <c r="BD251" s="220"/>
      <c r="BE251" s="220"/>
      <c r="BF251" s="220"/>
      <c r="BG251" s="220"/>
      <c r="BH251" s="220"/>
      <c r="BI251" s="220"/>
      <c r="BJ251" s="220"/>
      <c r="BK251" s="220"/>
      <c r="BL251" s="220"/>
      <c r="BM251" s="220"/>
      <c r="BN251" s="220"/>
      <c r="BO251" s="220"/>
      <c r="BP251" s="220"/>
      <c r="BQ251" s="220"/>
      <c r="BR251" s="220"/>
      <c r="BS251" s="220"/>
      <c r="BT251" s="220"/>
      <c r="BU251" s="220"/>
      <c r="BV251" s="220"/>
      <c r="BW251" s="220"/>
      <c r="BX251" s="220"/>
      <c r="BY251" s="220"/>
      <c r="BZ251" s="220"/>
      <c r="CA251" s="220"/>
      <c r="CB251" s="220"/>
      <c r="CC251" s="220"/>
      <c r="CD251" s="220"/>
      <c r="CE251" s="220"/>
      <c r="CF251" s="220"/>
      <c r="CG251" s="220"/>
      <c r="CH251" s="220"/>
      <c r="CI251" s="220"/>
      <c r="CJ251" s="220"/>
      <c r="CK251" s="220"/>
      <c r="CL251" s="220"/>
      <c r="CM251" s="220"/>
      <c r="CN251" s="220"/>
      <c r="CO251" s="220"/>
      <c r="CP251" s="220"/>
      <c r="CQ251" s="220"/>
      <c r="CR251" s="220"/>
      <c r="CS251" s="220"/>
      <c r="CT251" s="220"/>
      <c r="CU251" s="220"/>
      <c r="CV251" s="220"/>
      <c r="CW251" s="220"/>
      <c r="CX251" s="220"/>
      <c r="CY251" s="220"/>
      <c r="CZ251" s="220"/>
      <c r="DA251" s="220"/>
      <c r="DB251" s="220"/>
      <c r="DC251" s="220"/>
      <c r="DD251" s="220"/>
      <c r="DE251" s="220"/>
      <c r="DF251" s="220"/>
      <c r="DG251" s="220"/>
      <c r="DH251" s="220"/>
      <c r="DI251" s="220"/>
      <c r="DJ251" s="220"/>
      <c r="DK251" s="220"/>
      <c r="DL251" s="220"/>
      <c r="DM251" s="220"/>
      <c r="DN251" s="220"/>
      <c r="DO251" s="220"/>
      <c r="DP251" s="220"/>
      <c r="DQ251" s="220"/>
      <c r="DR251" s="220"/>
      <c r="DS251" s="220"/>
      <c r="DT251" s="220"/>
      <c r="DU251" s="220"/>
      <c r="DV251" s="220"/>
      <c r="DW251" s="220"/>
      <c r="DX251" s="220"/>
      <c r="DY251" s="220"/>
      <c r="DZ251" s="220"/>
      <c r="EA251" s="220"/>
      <c r="EB251" s="220"/>
      <c r="EC251" s="220"/>
      <c r="ED251" s="220"/>
      <c r="EE251" s="220"/>
      <c r="EF251" s="220"/>
      <c r="EG251" s="220"/>
      <c r="EH251" s="220"/>
      <c r="EI251" s="386"/>
      <c r="EJ251" s="220"/>
      <c r="EK251" s="220">
        <v>1000</v>
      </c>
      <c r="EL251" s="220"/>
      <c r="EM251" s="220"/>
      <c r="EN251" s="386">
        <f t="shared" si="1197"/>
        <v>1000</v>
      </c>
      <c r="EO251" s="220"/>
      <c r="EP251" s="220"/>
      <c r="EQ251" s="386">
        <f t="shared" si="1198"/>
        <v>1000</v>
      </c>
      <c r="ER251" s="220"/>
      <c r="ES251" s="220"/>
      <c r="ET251" s="386">
        <f t="shared" si="1199"/>
        <v>1000</v>
      </c>
      <c r="EU251" s="220"/>
      <c r="EV251" s="227">
        <v>180</v>
      </c>
      <c r="EW251" s="386">
        <f t="shared" si="1200"/>
        <v>1180</v>
      </c>
      <c r="EX251" s="220"/>
      <c r="EY251" s="220"/>
      <c r="EZ251" s="386">
        <f t="shared" si="1201"/>
        <v>1180</v>
      </c>
      <c r="FB251" s="220"/>
      <c r="FC251" s="386">
        <f t="shared" si="1202"/>
        <v>1180</v>
      </c>
      <c r="FE251" s="220"/>
      <c r="FF251" s="386">
        <f t="shared" si="1203"/>
        <v>1180</v>
      </c>
      <c r="FH251" s="220"/>
      <c r="FI251" s="386">
        <f t="shared" si="1204"/>
        <v>1180</v>
      </c>
      <c r="FK251" s="386"/>
      <c r="FL251" s="386">
        <f t="shared" si="1205"/>
        <v>1180</v>
      </c>
      <c r="FN251" s="386"/>
      <c r="FO251" s="386">
        <f t="shared" si="1206"/>
        <v>1180</v>
      </c>
      <c r="FQ251" s="386"/>
      <c r="FR251" s="386">
        <v>1180</v>
      </c>
      <c r="FT251" s="386">
        <v>1180</v>
      </c>
      <c r="FV251" s="386"/>
    </row>
    <row r="252" spans="1:178" outlineLevel="1">
      <c r="A252" s="378" t="s">
        <v>219</v>
      </c>
      <c r="B252" s="378" t="s">
        <v>148</v>
      </c>
      <c r="C252" s="379" t="s">
        <v>149</v>
      </c>
      <c r="D252" s="380">
        <v>2000</v>
      </c>
      <c r="E252" s="381">
        <v>41</v>
      </c>
      <c r="F252" s="380">
        <v>5000</v>
      </c>
      <c r="G252" s="381">
        <v>16.399999999999999</v>
      </c>
      <c r="H252" s="382">
        <v>820</v>
      </c>
      <c r="I252" s="383">
        <v>820</v>
      </c>
      <c r="J252" s="384"/>
      <c r="K252" s="220"/>
      <c r="L252" s="385"/>
      <c r="M252" s="385"/>
      <c r="N252" s="387"/>
      <c r="O252" s="220"/>
      <c r="P252" s="386"/>
      <c r="Q252" s="220"/>
      <c r="R252" s="220"/>
      <c r="S252" s="385"/>
      <c r="T252" s="220"/>
      <c r="U252" s="386"/>
      <c r="V252" s="220"/>
      <c r="W252" s="220"/>
      <c r="X252" s="386"/>
      <c r="Y252" s="388"/>
      <c r="Z252" s="388"/>
      <c r="AA252" s="220"/>
      <c r="AB252" s="388"/>
      <c r="AC252" s="388"/>
      <c r="AD252" s="220"/>
      <c r="AE252" s="220"/>
      <c r="AF252" s="386"/>
      <c r="AG252" s="220"/>
      <c r="AH252" s="220"/>
      <c r="AI252" s="386"/>
      <c r="AJ252" s="220"/>
      <c r="AK252" s="386"/>
      <c r="AL252" s="220"/>
      <c r="AM252" s="220"/>
      <c r="AN252" s="386"/>
      <c r="AO252" s="220"/>
      <c r="AQ252" s="386"/>
      <c r="AR252" s="220"/>
      <c r="AS252" s="386">
        <v>2500</v>
      </c>
      <c r="AT252" s="220"/>
      <c r="AU252" s="220"/>
      <c r="AV252" s="220"/>
      <c r="AW252" s="220"/>
      <c r="AX252" s="220"/>
      <c r="AY252" s="220"/>
      <c r="AZ252" s="220"/>
      <c r="BA252" s="220"/>
      <c r="BB252" s="220"/>
      <c r="BC252" s="220"/>
      <c r="BD252" s="220"/>
      <c r="BE252" s="220"/>
      <c r="BF252" s="220"/>
      <c r="BG252" s="220"/>
      <c r="BH252" s="220"/>
      <c r="BI252" s="220"/>
      <c r="BJ252" s="220"/>
      <c r="BK252" s="220"/>
      <c r="BL252" s="220"/>
      <c r="BM252" s="220"/>
      <c r="BN252" s="220"/>
      <c r="BO252" s="220"/>
      <c r="BP252" s="220"/>
      <c r="BQ252" s="220"/>
      <c r="BR252" s="220"/>
      <c r="BS252" s="220"/>
      <c r="BT252" s="220"/>
      <c r="BU252" s="220"/>
      <c r="BV252" s="220"/>
      <c r="BW252" s="220"/>
      <c r="BX252" s="220"/>
      <c r="BY252" s="220"/>
      <c r="BZ252" s="220"/>
      <c r="CA252" s="220"/>
      <c r="CB252" s="220"/>
      <c r="CC252" s="220"/>
      <c r="CD252" s="220"/>
      <c r="CE252" s="220"/>
      <c r="CF252" s="220"/>
      <c r="CG252" s="220"/>
      <c r="CH252" s="220"/>
      <c r="CI252" s="220"/>
      <c r="CJ252" s="220"/>
      <c r="CK252" s="220"/>
      <c r="CL252" s="220"/>
      <c r="CM252" s="220"/>
      <c r="CN252" s="220"/>
      <c r="CO252" s="220"/>
      <c r="CP252" s="220"/>
      <c r="CQ252" s="220"/>
      <c r="CR252" s="220"/>
      <c r="CS252" s="220"/>
      <c r="CT252" s="220"/>
      <c r="CU252" s="220"/>
      <c r="CV252" s="220"/>
      <c r="CW252" s="220"/>
      <c r="CX252" s="220"/>
      <c r="CY252" s="220"/>
      <c r="CZ252" s="220"/>
      <c r="DA252" s="220"/>
      <c r="DB252" s="220"/>
      <c r="DC252" s="220"/>
      <c r="DD252" s="220"/>
      <c r="DE252" s="220"/>
      <c r="DF252" s="220"/>
      <c r="DG252" s="220"/>
      <c r="DH252" s="220"/>
      <c r="DI252" s="220"/>
      <c r="DJ252" s="220"/>
      <c r="DK252" s="220"/>
      <c r="DL252" s="220"/>
      <c r="DM252" s="220"/>
      <c r="DN252" s="220"/>
      <c r="DO252" s="220"/>
      <c r="DP252" s="220"/>
      <c r="DQ252" s="220"/>
      <c r="DR252" s="220"/>
      <c r="DS252" s="220"/>
      <c r="DT252" s="220"/>
      <c r="DU252" s="220"/>
      <c r="DV252" s="220"/>
      <c r="DW252" s="220"/>
      <c r="DX252" s="220"/>
      <c r="DY252" s="220"/>
      <c r="DZ252" s="220"/>
      <c r="EA252" s="220"/>
      <c r="EB252" s="220"/>
      <c r="EC252" s="220"/>
      <c r="ED252" s="220"/>
      <c r="EE252" s="220"/>
      <c r="EF252" s="220"/>
      <c r="EG252" s="220"/>
      <c r="EH252" s="220"/>
      <c r="EI252" s="386"/>
      <c r="EJ252" s="220"/>
      <c r="EK252" s="220">
        <v>2000</v>
      </c>
      <c r="EL252" s="220"/>
      <c r="EM252" s="220"/>
      <c r="EN252" s="386">
        <f t="shared" si="1197"/>
        <v>2000</v>
      </c>
      <c r="EO252" s="220"/>
      <c r="EP252" s="220"/>
      <c r="EQ252" s="386">
        <f t="shared" si="1198"/>
        <v>2000</v>
      </c>
      <c r="ER252" s="220"/>
      <c r="ES252" s="220"/>
      <c r="ET252" s="386">
        <f t="shared" si="1199"/>
        <v>2000</v>
      </c>
      <c r="EU252" s="220"/>
      <c r="EV252" s="227">
        <f>560-2000</f>
        <v>-1440</v>
      </c>
      <c r="EW252" s="386">
        <f t="shared" si="1200"/>
        <v>560</v>
      </c>
      <c r="EX252" s="220"/>
      <c r="EY252" s="220"/>
      <c r="EZ252" s="386">
        <f t="shared" si="1201"/>
        <v>560</v>
      </c>
      <c r="FB252" s="220"/>
      <c r="FC252" s="386">
        <f t="shared" si="1202"/>
        <v>560</v>
      </c>
      <c r="FE252" s="220"/>
      <c r="FF252" s="386">
        <f t="shared" si="1203"/>
        <v>560</v>
      </c>
      <c r="FH252" s="220"/>
      <c r="FI252" s="386">
        <f t="shared" si="1204"/>
        <v>560</v>
      </c>
      <c r="FK252" s="386"/>
      <c r="FL252" s="386">
        <f t="shared" si="1205"/>
        <v>560</v>
      </c>
      <c r="FN252" s="386"/>
      <c r="FO252" s="386">
        <f t="shared" si="1206"/>
        <v>560</v>
      </c>
      <c r="FQ252" s="386"/>
      <c r="FR252" s="386">
        <v>560</v>
      </c>
      <c r="FT252" s="386">
        <v>560</v>
      </c>
      <c r="FV252" s="386"/>
    </row>
    <row r="253" spans="1:178" outlineLevel="1">
      <c r="A253" s="378" t="s">
        <v>219</v>
      </c>
      <c r="B253" s="379" t="s">
        <v>46</v>
      </c>
      <c r="C253" s="379" t="s">
        <v>222</v>
      </c>
      <c r="D253" s="380">
        <v>25000</v>
      </c>
      <c r="E253" s="381">
        <v>53.13</v>
      </c>
      <c r="F253" s="380">
        <v>54000</v>
      </c>
      <c r="G253" s="381">
        <v>24.6</v>
      </c>
      <c r="H253" s="382">
        <v>13283</v>
      </c>
      <c r="I253" s="383">
        <v>13283</v>
      </c>
      <c r="J253" s="384"/>
      <c r="K253" s="220"/>
      <c r="L253" s="385"/>
      <c r="M253" s="385"/>
      <c r="N253" s="387"/>
      <c r="O253" s="220"/>
      <c r="P253" s="386"/>
      <c r="Q253" s="220"/>
      <c r="R253" s="220"/>
      <c r="S253" s="385"/>
      <c r="T253" s="220"/>
      <c r="U253" s="386"/>
      <c r="V253" s="220"/>
      <c r="W253" s="220"/>
      <c r="X253" s="386"/>
      <c r="Y253" s="388"/>
      <c r="Z253" s="388"/>
      <c r="AA253" s="220"/>
      <c r="AB253" s="388"/>
      <c r="AC253" s="388"/>
      <c r="AD253" s="220"/>
      <c r="AE253" s="220"/>
      <c r="AF253" s="386"/>
      <c r="AG253" s="220"/>
      <c r="AH253" s="220"/>
      <c r="AI253" s="386"/>
      <c r="AJ253" s="220"/>
      <c r="AK253" s="386"/>
      <c r="AL253" s="220"/>
      <c r="AM253" s="220"/>
      <c r="AN253" s="386"/>
      <c r="AO253" s="220"/>
      <c r="AQ253" s="386"/>
      <c r="AR253" s="220"/>
      <c r="AS253" s="386"/>
      <c r="AT253" s="220"/>
      <c r="AU253" s="220"/>
      <c r="AV253" s="220"/>
      <c r="AW253" s="220"/>
      <c r="AX253" s="220"/>
      <c r="AY253" s="220"/>
      <c r="AZ253" s="220"/>
      <c r="BA253" s="220"/>
      <c r="BB253" s="220"/>
      <c r="BC253" s="220"/>
      <c r="BD253" s="220"/>
      <c r="BE253" s="220"/>
      <c r="BF253" s="220"/>
      <c r="BG253" s="220"/>
      <c r="BH253" s="220"/>
      <c r="BI253" s="220"/>
      <c r="BJ253" s="220"/>
      <c r="BK253" s="220"/>
      <c r="BL253" s="220"/>
      <c r="BM253" s="220"/>
      <c r="BN253" s="220"/>
      <c r="BO253" s="220"/>
      <c r="BP253" s="220"/>
      <c r="BQ253" s="220"/>
      <c r="BR253" s="220"/>
      <c r="BS253" s="220"/>
      <c r="BT253" s="220"/>
      <c r="BU253" s="220"/>
      <c r="BV253" s="220"/>
      <c r="BW253" s="220"/>
      <c r="BX253" s="220"/>
      <c r="BY253" s="220"/>
      <c r="BZ253" s="220"/>
      <c r="CA253" s="220"/>
      <c r="CB253" s="220"/>
      <c r="CC253" s="220"/>
      <c r="CD253" s="220"/>
      <c r="CE253" s="220"/>
      <c r="CF253" s="220"/>
      <c r="CG253" s="220"/>
      <c r="CH253" s="220"/>
      <c r="CI253" s="220"/>
      <c r="CJ253" s="220"/>
      <c r="CK253" s="220"/>
      <c r="CL253" s="220"/>
      <c r="CM253" s="220"/>
      <c r="CN253" s="220"/>
      <c r="CO253" s="220"/>
      <c r="CP253" s="220"/>
      <c r="CQ253" s="220"/>
      <c r="CR253" s="220"/>
      <c r="CS253" s="220"/>
      <c r="CT253" s="220"/>
      <c r="CU253" s="220"/>
      <c r="CV253" s="220"/>
      <c r="CW253" s="220"/>
      <c r="CX253" s="220"/>
      <c r="CY253" s="220"/>
      <c r="CZ253" s="220"/>
      <c r="DA253" s="220"/>
      <c r="DB253" s="220"/>
      <c r="DC253" s="220"/>
      <c r="DD253" s="220"/>
      <c r="DE253" s="220"/>
      <c r="DF253" s="220"/>
      <c r="DG253" s="220"/>
      <c r="DH253" s="220"/>
      <c r="DI253" s="220"/>
      <c r="DJ253" s="220"/>
      <c r="DK253" s="220"/>
      <c r="DL253" s="220"/>
      <c r="DM253" s="220"/>
      <c r="DN253" s="220"/>
      <c r="DO253" s="220"/>
      <c r="DP253" s="220"/>
      <c r="DQ253" s="220"/>
      <c r="DR253" s="220"/>
      <c r="DS253" s="220"/>
      <c r="DT253" s="220"/>
      <c r="DU253" s="220"/>
      <c r="DV253" s="220"/>
      <c r="DW253" s="220"/>
      <c r="DX253" s="220"/>
      <c r="DY253" s="220"/>
      <c r="DZ253" s="220"/>
      <c r="EA253" s="220"/>
      <c r="EB253" s="220"/>
      <c r="EC253" s="220"/>
      <c r="ED253" s="220"/>
      <c r="EE253" s="220"/>
      <c r="EF253" s="220"/>
      <c r="EG253" s="220"/>
      <c r="EH253" s="220"/>
      <c r="EI253" s="386"/>
      <c r="EJ253" s="220"/>
      <c r="EK253" s="220"/>
      <c r="EL253" s="220"/>
      <c r="EM253" s="220"/>
      <c r="EN253" s="220"/>
      <c r="EO253" s="220"/>
      <c r="EP253" s="220"/>
      <c r="EQ253" s="220"/>
      <c r="ER253" s="220"/>
      <c r="ES253" s="220"/>
      <c r="ET253" s="220"/>
      <c r="EU253" s="220"/>
      <c r="EV253" s="220"/>
      <c r="EW253" s="220"/>
      <c r="EX253" s="220"/>
      <c r="EY253" s="220"/>
      <c r="EZ253" s="220"/>
      <c r="FB253" s="220"/>
      <c r="FC253" s="220"/>
      <c r="FE253" s="220"/>
      <c r="FF253" s="220"/>
      <c r="FH253" s="220"/>
      <c r="FI253" s="220"/>
      <c r="FK253" s="386"/>
      <c r="FL253" s="220"/>
      <c r="FN253" s="386"/>
      <c r="FO253" s="220"/>
      <c r="FQ253" s="386"/>
      <c r="FR253" s="220"/>
      <c r="FT253" s="386"/>
      <c r="FV253" s="386"/>
    </row>
    <row r="254" spans="1:178" outlineLevel="1">
      <c r="A254" s="13" t="s">
        <v>580</v>
      </c>
      <c r="B254" s="332" t="s">
        <v>183</v>
      </c>
      <c r="C254" s="4" t="s">
        <v>184</v>
      </c>
      <c r="D254" s="36"/>
      <c r="E254" s="51"/>
      <c r="F254" s="36"/>
      <c r="G254" s="51"/>
      <c r="H254" s="36"/>
      <c r="I254" s="36"/>
      <c r="J254" s="14"/>
      <c r="M254" s="17"/>
      <c r="N254" s="17"/>
      <c r="U254" s="16"/>
      <c r="Y254" s="118"/>
      <c r="AB254" s="185"/>
      <c r="AC254" s="187"/>
      <c r="AD254" s="187"/>
      <c r="AF254" s="182"/>
      <c r="AH254" s="15"/>
      <c r="AI254" s="17"/>
      <c r="AX254" s="15"/>
      <c r="BD254" s="15"/>
      <c r="BG254" s="15"/>
      <c r="DC254" s="15">
        <v>2000</v>
      </c>
      <c r="DE254" s="15"/>
      <c r="DF254" s="15">
        <f t="shared" ref="DF254:DF258" si="1207">DC254+DE254</f>
        <v>2000</v>
      </c>
      <c r="DH254" s="15"/>
      <c r="DI254" s="15">
        <f t="shared" ref="DI254:DI258" si="1208">DF254+DH254</f>
        <v>2000</v>
      </c>
      <c r="DK254" s="15"/>
      <c r="DL254" s="15">
        <f t="shared" ref="DL254:DL258" si="1209">DI254+DK254</f>
        <v>2000</v>
      </c>
      <c r="DN254" s="15"/>
      <c r="DO254" s="15">
        <f t="shared" ref="DO254:DO258" si="1210">DL254+DN254</f>
        <v>2000</v>
      </c>
      <c r="DQ254" s="227">
        <v>-2000</v>
      </c>
      <c r="DR254" s="15">
        <f t="shared" ref="DR254:DR258" si="1211">DO254+DQ254</f>
        <v>0</v>
      </c>
      <c r="DT254" s="15"/>
      <c r="DU254" s="15">
        <f t="shared" ref="DU254:DU258" si="1212">DR254+DT254</f>
        <v>0</v>
      </c>
      <c r="DW254" s="15"/>
      <c r="DX254" s="15">
        <f t="shared" ref="DX254:DX258" si="1213">DU254+DW254</f>
        <v>0</v>
      </c>
      <c r="DZ254" s="15"/>
      <c r="EA254" s="15">
        <f t="shared" ref="EA254:EA258" si="1214">DX254+DZ254</f>
        <v>0</v>
      </c>
      <c r="EC254" s="15"/>
      <c r="ED254" s="15">
        <f t="shared" ref="ED254:ED258" si="1215">EA254+EC254</f>
        <v>0</v>
      </c>
      <c r="EF254" s="15"/>
      <c r="EG254" s="15">
        <f t="shared" ref="EG254:EG258" si="1216">ED254+EF254</f>
        <v>0</v>
      </c>
      <c r="EK254" s="15"/>
      <c r="EM254" s="15"/>
      <c r="EN254" s="15">
        <f t="shared" ref="EN254:EN258" si="1217">EK254+EM254</f>
        <v>0</v>
      </c>
      <c r="EP254" s="15"/>
      <c r="EQ254" s="15">
        <f t="shared" ref="EQ254:EQ258" si="1218">EN254+EP254</f>
        <v>0</v>
      </c>
      <c r="ES254" s="15"/>
      <c r="ET254" s="15">
        <f t="shared" ref="ET254:ET258" si="1219">EQ254+ES254</f>
        <v>0</v>
      </c>
      <c r="EW254" s="15">
        <f t="shared" ref="EW254:EW258" si="1220">ET254+EV254</f>
        <v>0</v>
      </c>
      <c r="EZ254" s="15">
        <f t="shared" ref="EZ254:EZ258" si="1221">EW254+EY254</f>
        <v>0</v>
      </c>
      <c r="FC254" s="15">
        <f t="shared" ref="FC254:FC258" si="1222">EZ254+FB254</f>
        <v>0</v>
      </c>
      <c r="FF254" s="15">
        <f t="shared" ref="FF254:FF258" si="1223">FC254+FE254</f>
        <v>0</v>
      </c>
      <c r="FI254" s="15">
        <f t="shared" ref="FI254:FI258" si="1224">FF254+FH254</f>
        <v>0</v>
      </c>
      <c r="FL254" s="15">
        <f t="shared" ref="FL254:FL258" si="1225">FI254+FK254</f>
        <v>0</v>
      </c>
      <c r="FO254" s="15">
        <f t="shared" ref="FO254:FO258" si="1226">FL254+FN254</f>
        <v>0</v>
      </c>
      <c r="FR254" s="15">
        <v>0</v>
      </c>
    </row>
    <row r="255" spans="1:178" outlineLevel="1">
      <c r="A255" s="13" t="s">
        <v>580</v>
      </c>
      <c r="B255" s="1" t="s">
        <v>142</v>
      </c>
      <c r="C255" s="4" t="s">
        <v>143</v>
      </c>
      <c r="D255" s="36"/>
      <c r="E255" s="51"/>
      <c r="F255" s="36"/>
      <c r="G255" s="51"/>
      <c r="H255" s="36"/>
      <c r="I255" s="36"/>
      <c r="J255" s="14"/>
      <c r="M255" s="17"/>
      <c r="N255" s="17"/>
      <c r="U255" s="16"/>
      <c r="Y255" s="118"/>
      <c r="AB255" s="185"/>
      <c r="AC255" s="187"/>
      <c r="AD255" s="187"/>
      <c r="AF255" s="182"/>
      <c r="AH255" s="15"/>
      <c r="AI255" s="17"/>
      <c r="AX255" s="15"/>
      <c r="BD255" s="15"/>
      <c r="BG255" s="15"/>
      <c r="DC255" s="15">
        <v>10000</v>
      </c>
      <c r="DE255" s="15"/>
      <c r="DF255" s="15">
        <f t="shared" si="1207"/>
        <v>10000</v>
      </c>
      <c r="DH255" s="227">
        <v>3725</v>
      </c>
      <c r="DI255" s="15">
        <f t="shared" si="1208"/>
        <v>13725</v>
      </c>
      <c r="DK255" s="15"/>
      <c r="DL255" s="15">
        <f t="shared" si="1209"/>
        <v>13725</v>
      </c>
      <c r="DN255" s="15"/>
      <c r="DO255" s="15">
        <f t="shared" si="1210"/>
        <v>13725</v>
      </c>
      <c r="DQ255" s="15"/>
      <c r="DR255" s="15">
        <f t="shared" si="1211"/>
        <v>13725</v>
      </c>
      <c r="DT255" s="15"/>
      <c r="DU255" s="15">
        <f t="shared" si="1212"/>
        <v>13725</v>
      </c>
      <c r="DW255" s="15"/>
      <c r="DX255" s="15">
        <f t="shared" si="1213"/>
        <v>13725</v>
      </c>
      <c r="DZ255" s="15"/>
      <c r="EA255" s="15">
        <f t="shared" si="1214"/>
        <v>13725</v>
      </c>
      <c r="EC255" s="15"/>
      <c r="ED255" s="15">
        <f t="shared" si="1215"/>
        <v>13725</v>
      </c>
      <c r="EF255" s="15"/>
      <c r="EG255" s="15">
        <f t="shared" si="1216"/>
        <v>13725</v>
      </c>
      <c r="EI255" s="15">
        <v>13725</v>
      </c>
      <c r="EK255" s="15"/>
      <c r="EM255" s="15"/>
      <c r="EN255" s="15">
        <f t="shared" si="1217"/>
        <v>0</v>
      </c>
      <c r="EP255" s="15"/>
      <c r="EQ255" s="15">
        <f t="shared" si="1218"/>
        <v>0</v>
      </c>
      <c r="ES255" s="15"/>
      <c r="ET255" s="15">
        <f t="shared" si="1219"/>
        <v>0</v>
      </c>
      <c r="EW255" s="15">
        <f t="shared" si="1220"/>
        <v>0</v>
      </c>
      <c r="EZ255" s="15">
        <f t="shared" si="1221"/>
        <v>0</v>
      </c>
      <c r="FC255" s="15">
        <f t="shared" si="1222"/>
        <v>0</v>
      </c>
      <c r="FF255" s="15">
        <f t="shared" si="1223"/>
        <v>0</v>
      </c>
      <c r="FI255" s="15">
        <f t="shared" si="1224"/>
        <v>0</v>
      </c>
      <c r="FL255" s="15">
        <f t="shared" si="1225"/>
        <v>0</v>
      </c>
      <c r="FO255" s="15">
        <f t="shared" si="1226"/>
        <v>0</v>
      </c>
      <c r="FR255" s="15">
        <v>0</v>
      </c>
    </row>
    <row r="256" spans="1:178" outlineLevel="1">
      <c r="A256" s="13" t="s">
        <v>580</v>
      </c>
      <c r="B256" s="1" t="s">
        <v>220</v>
      </c>
      <c r="C256" s="4" t="s">
        <v>221</v>
      </c>
      <c r="D256" s="36"/>
      <c r="E256" s="51"/>
      <c r="F256" s="36"/>
      <c r="G256" s="51"/>
      <c r="H256" s="36"/>
      <c r="I256" s="36"/>
      <c r="J256" s="14"/>
      <c r="M256" s="17"/>
      <c r="N256" s="17"/>
      <c r="U256" s="16"/>
      <c r="Y256" s="118"/>
      <c r="AB256" s="185"/>
      <c r="AC256" s="187"/>
      <c r="AD256" s="187"/>
      <c r="AF256" s="182"/>
      <c r="AH256" s="15"/>
      <c r="AI256" s="17"/>
      <c r="AX256" s="15"/>
      <c r="BD256" s="15"/>
      <c r="BG256" s="15"/>
      <c r="DC256" s="15">
        <v>500</v>
      </c>
      <c r="DE256" s="15"/>
      <c r="DF256" s="15">
        <f t="shared" si="1207"/>
        <v>500</v>
      </c>
      <c r="DH256" s="15"/>
      <c r="DI256" s="15">
        <f t="shared" si="1208"/>
        <v>500</v>
      </c>
      <c r="DK256" s="15"/>
      <c r="DL256" s="15">
        <f t="shared" si="1209"/>
        <v>500</v>
      </c>
      <c r="DN256" s="15"/>
      <c r="DO256" s="15">
        <f t="shared" si="1210"/>
        <v>500</v>
      </c>
      <c r="DQ256" s="227">
        <v>-100</v>
      </c>
      <c r="DR256" s="15">
        <f t="shared" si="1211"/>
        <v>400</v>
      </c>
      <c r="DT256" s="15"/>
      <c r="DU256" s="15">
        <f t="shared" si="1212"/>
        <v>400</v>
      </c>
      <c r="DW256" s="15"/>
      <c r="DX256" s="15">
        <f t="shared" si="1213"/>
        <v>400</v>
      </c>
      <c r="DZ256" s="15"/>
      <c r="EA256" s="15">
        <f t="shared" si="1214"/>
        <v>400</v>
      </c>
      <c r="EC256" s="15"/>
      <c r="ED256" s="15">
        <f t="shared" si="1215"/>
        <v>400</v>
      </c>
      <c r="EF256" s="15"/>
      <c r="EG256" s="15">
        <f t="shared" si="1216"/>
        <v>400</v>
      </c>
      <c r="EI256" s="15">
        <v>392</v>
      </c>
      <c r="EK256" s="15"/>
      <c r="EM256" s="15"/>
      <c r="EN256" s="15">
        <f t="shared" si="1217"/>
        <v>0</v>
      </c>
      <c r="EP256" s="15"/>
      <c r="EQ256" s="15">
        <f t="shared" si="1218"/>
        <v>0</v>
      </c>
      <c r="ES256" s="15"/>
      <c r="ET256" s="15">
        <f t="shared" si="1219"/>
        <v>0</v>
      </c>
      <c r="EW256" s="15">
        <f t="shared" si="1220"/>
        <v>0</v>
      </c>
      <c r="EZ256" s="15">
        <f t="shared" si="1221"/>
        <v>0</v>
      </c>
      <c r="FC256" s="15">
        <f t="shared" si="1222"/>
        <v>0</v>
      </c>
      <c r="FF256" s="15">
        <f t="shared" si="1223"/>
        <v>0</v>
      </c>
      <c r="FI256" s="15">
        <f t="shared" si="1224"/>
        <v>0</v>
      </c>
      <c r="FL256" s="15">
        <f t="shared" si="1225"/>
        <v>0</v>
      </c>
      <c r="FO256" s="15">
        <f t="shared" si="1226"/>
        <v>0</v>
      </c>
      <c r="FR256" s="15">
        <v>0</v>
      </c>
    </row>
    <row r="257" spans="1:179" outlineLevel="1">
      <c r="A257" s="13" t="s">
        <v>580</v>
      </c>
      <c r="B257" s="1" t="s">
        <v>206</v>
      </c>
      <c r="C257" s="4" t="s">
        <v>207</v>
      </c>
      <c r="D257" s="36"/>
      <c r="E257" s="51"/>
      <c r="F257" s="36"/>
      <c r="G257" s="51"/>
      <c r="H257" s="36"/>
      <c r="I257" s="36"/>
      <c r="J257" s="14"/>
      <c r="M257" s="17"/>
      <c r="N257" s="17"/>
      <c r="U257" s="16"/>
      <c r="Y257" s="118"/>
      <c r="AB257" s="185"/>
      <c r="AC257" s="187"/>
      <c r="AD257" s="187"/>
      <c r="AF257" s="182"/>
      <c r="AH257" s="15"/>
      <c r="AI257" s="17"/>
      <c r="AX257" s="15"/>
      <c r="BD257" s="15"/>
      <c r="BG257" s="15"/>
      <c r="DC257" s="15">
        <v>1500</v>
      </c>
      <c r="DE257" s="15"/>
      <c r="DF257" s="15">
        <f t="shared" si="1207"/>
        <v>1500</v>
      </c>
      <c r="DH257" s="15"/>
      <c r="DI257" s="15">
        <f t="shared" si="1208"/>
        <v>1500</v>
      </c>
      <c r="DK257" s="15"/>
      <c r="DL257" s="15">
        <f t="shared" si="1209"/>
        <v>1500</v>
      </c>
      <c r="DN257" s="15"/>
      <c r="DO257" s="15">
        <f t="shared" si="1210"/>
        <v>1500</v>
      </c>
      <c r="DQ257" s="227">
        <v>-300</v>
      </c>
      <c r="DR257" s="15">
        <f t="shared" si="1211"/>
        <v>1200</v>
      </c>
      <c r="DT257" s="15"/>
      <c r="DU257" s="15">
        <f t="shared" si="1212"/>
        <v>1200</v>
      </c>
      <c r="DW257" s="15"/>
      <c r="DX257" s="15">
        <f t="shared" si="1213"/>
        <v>1200</v>
      </c>
      <c r="DZ257" s="15"/>
      <c r="EA257" s="15">
        <f t="shared" si="1214"/>
        <v>1200</v>
      </c>
      <c r="EC257" s="15"/>
      <c r="ED257" s="15">
        <f t="shared" si="1215"/>
        <v>1200</v>
      </c>
      <c r="EF257" s="15"/>
      <c r="EG257" s="15">
        <f t="shared" si="1216"/>
        <v>1200</v>
      </c>
      <c r="EI257" s="15">
        <v>1180</v>
      </c>
      <c r="EK257" s="15"/>
      <c r="EM257" s="15"/>
      <c r="EN257" s="15">
        <f t="shared" si="1217"/>
        <v>0</v>
      </c>
      <c r="EP257" s="15"/>
      <c r="EQ257" s="15">
        <f t="shared" si="1218"/>
        <v>0</v>
      </c>
      <c r="ES257" s="15"/>
      <c r="ET257" s="15">
        <f t="shared" si="1219"/>
        <v>0</v>
      </c>
      <c r="EW257" s="15">
        <f t="shared" si="1220"/>
        <v>0</v>
      </c>
      <c r="EZ257" s="15">
        <f t="shared" si="1221"/>
        <v>0</v>
      </c>
      <c r="FC257" s="15">
        <f t="shared" si="1222"/>
        <v>0</v>
      </c>
      <c r="FF257" s="15">
        <f t="shared" si="1223"/>
        <v>0</v>
      </c>
      <c r="FI257" s="15">
        <f t="shared" si="1224"/>
        <v>0</v>
      </c>
      <c r="FL257" s="15">
        <f t="shared" si="1225"/>
        <v>0</v>
      </c>
      <c r="FO257" s="15">
        <f t="shared" si="1226"/>
        <v>0</v>
      </c>
      <c r="FR257" s="15">
        <v>0</v>
      </c>
    </row>
    <row r="258" spans="1:179" outlineLevel="1">
      <c r="A258" s="13" t="s">
        <v>580</v>
      </c>
      <c r="B258" s="1" t="s">
        <v>148</v>
      </c>
      <c r="C258" s="4" t="s">
        <v>149</v>
      </c>
      <c r="D258" s="36"/>
      <c r="E258" s="51"/>
      <c r="F258" s="36"/>
      <c r="G258" s="51"/>
      <c r="H258" s="36"/>
      <c r="I258" s="36"/>
      <c r="J258" s="14"/>
      <c r="M258" s="17"/>
      <c r="N258" s="17"/>
      <c r="U258" s="16"/>
      <c r="Y258" s="118"/>
      <c r="AB258" s="185"/>
      <c r="AC258" s="187"/>
      <c r="AD258" s="187"/>
      <c r="AF258" s="182"/>
      <c r="AH258" s="15"/>
      <c r="AI258" s="17"/>
      <c r="AX258" s="15"/>
      <c r="BD258" s="15"/>
      <c r="BG258" s="15"/>
      <c r="DC258" s="15">
        <v>2500</v>
      </c>
      <c r="DE258" s="15"/>
      <c r="DF258" s="15">
        <f t="shared" si="1207"/>
        <v>2500</v>
      </c>
      <c r="DH258" s="15"/>
      <c r="DI258" s="15">
        <f t="shared" si="1208"/>
        <v>2500</v>
      </c>
      <c r="DK258" s="15"/>
      <c r="DL258" s="15">
        <f t="shared" si="1209"/>
        <v>2500</v>
      </c>
      <c r="DN258" s="15"/>
      <c r="DO258" s="15">
        <f t="shared" si="1210"/>
        <v>2500</v>
      </c>
      <c r="DQ258" s="227">
        <v>-400</v>
      </c>
      <c r="DR258" s="15">
        <f t="shared" si="1211"/>
        <v>2100</v>
      </c>
      <c r="DT258" s="15"/>
      <c r="DU258" s="15">
        <f t="shared" si="1212"/>
        <v>2100</v>
      </c>
      <c r="DW258" s="15"/>
      <c r="DX258" s="15">
        <f t="shared" si="1213"/>
        <v>2100</v>
      </c>
      <c r="DZ258" s="15"/>
      <c r="EA258" s="15">
        <f t="shared" si="1214"/>
        <v>2100</v>
      </c>
      <c r="EC258" s="15"/>
      <c r="ED258" s="15">
        <f t="shared" si="1215"/>
        <v>2100</v>
      </c>
      <c r="EF258" s="15"/>
      <c r="EG258" s="15">
        <f t="shared" si="1216"/>
        <v>2100</v>
      </c>
      <c r="EI258" s="15">
        <v>2061</v>
      </c>
      <c r="EK258" s="15"/>
      <c r="EM258" s="15"/>
      <c r="EN258" s="15">
        <f t="shared" si="1217"/>
        <v>0</v>
      </c>
      <c r="EP258" s="15"/>
      <c r="EQ258" s="15">
        <f t="shared" si="1218"/>
        <v>0</v>
      </c>
      <c r="ES258" s="15"/>
      <c r="ET258" s="15">
        <f t="shared" si="1219"/>
        <v>0</v>
      </c>
      <c r="EW258" s="15">
        <f t="shared" si="1220"/>
        <v>0</v>
      </c>
      <c r="EZ258" s="15">
        <f t="shared" si="1221"/>
        <v>0</v>
      </c>
      <c r="FC258" s="15">
        <f t="shared" si="1222"/>
        <v>0</v>
      </c>
      <c r="FF258" s="15">
        <f t="shared" si="1223"/>
        <v>0</v>
      </c>
      <c r="FI258" s="15">
        <f t="shared" si="1224"/>
        <v>0</v>
      </c>
      <c r="FL258" s="15">
        <f t="shared" si="1225"/>
        <v>0</v>
      </c>
      <c r="FO258" s="15">
        <f t="shared" si="1226"/>
        <v>0</v>
      </c>
      <c r="FR258" s="15">
        <v>0</v>
      </c>
    </row>
    <row r="259" spans="1:179" outlineLevel="1">
      <c r="A259" s="13" t="s">
        <v>580</v>
      </c>
      <c r="B259" s="13" t="s">
        <v>46</v>
      </c>
      <c r="C259" s="4" t="s">
        <v>650</v>
      </c>
      <c r="D259" s="36"/>
      <c r="E259" s="51"/>
      <c r="F259" s="36"/>
      <c r="G259" s="51"/>
      <c r="H259" s="36"/>
      <c r="I259" s="36"/>
      <c r="J259" s="14"/>
      <c r="M259" s="17"/>
      <c r="N259" s="17"/>
      <c r="U259" s="16"/>
      <c r="Y259" s="118"/>
      <c r="AB259" s="185"/>
      <c r="AC259" s="187"/>
      <c r="AD259" s="187"/>
      <c r="AF259" s="182"/>
      <c r="AH259" s="15"/>
      <c r="AI259" s="17"/>
      <c r="AX259" s="15"/>
      <c r="BD259" s="15"/>
      <c r="BG259" s="15"/>
      <c r="DE259" s="15"/>
      <c r="DF259" s="15"/>
      <c r="DH259" s="15"/>
      <c r="DI259" s="15"/>
      <c r="DK259" s="15"/>
      <c r="DL259" s="15"/>
      <c r="DN259" s="15"/>
      <c r="DO259" s="15"/>
      <c r="DQ259" s="227"/>
      <c r="DR259" s="15"/>
      <c r="DT259" s="15"/>
      <c r="DU259" s="15"/>
      <c r="DW259" s="15"/>
      <c r="DX259" s="15"/>
      <c r="DZ259" s="15"/>
      <c r="EA259" s="15"/>
      <c r="EC259" s="15"/>
      <c r="ED259" s="15"/>
      <c r="EF259" s="15"/>
      <c r="EG259" s="15"/>
      <c r="EK259" s="15"/>
      <c r="EM259" s="15"/>
      <c r="EN259" s="15"/>
      <c r="EP259" s="15"/>
      <c r="EQ259" s="15"/>
      <c r="ES259" s="15"/>
      <c r="ET259" s="15"/>
      <c r="EW259" s="15"/>
      <c r="EZ259" s="15"/>
      <c r="FC259" s="15"/>
      <c r="FF259" s="15"/>
      <c r="FI259" s="15"/>
      <c r="FL259" s="15"/>
      <c r="FO259" s="15"/>
      <c r="FR259" s="15"/>
    </row>
    <row r="260" spans="1:179" ht="15.75" customHeight="1" thickBot="1">
      <c r="A260" s="54" t="s">
        <v>579</v>
      </c>
      <c r="B260" s="55" t="s">
        <v>316</v>
      </c>
      <c r="C260" s="56" t="s">
        <v>649</v>
      </c>
      <c r="D260" s="57" t="e">
        <f>#REF!</f>
        <v>#REF!</v>
      </c>
      <c r="E260" s="58"/>
      <c r="F260" s="57" t="e">
        <f>#REF!</f>
        <v>#REF!</v>
      </c>
      <c r="G260" s="58"/>
      <c r="H260" s="57"/>
      <c r="I260" s="57" t="e">
        <f>#REF!</f>
        <v>#REF!</v>
      </c>
      <c r="J260" s="59"/>
      <c r="K260" s="60"/>
      <c r="L260" s="122">
        <f>SUM(L240:L246)</f>
        <v>19100</v>
      </c>
      <c r="M260" s="61" t="e">
        <f t="shared" si="1163"/>
        <v>#REF!</v>
      </c>
      <c r="N260" s="61" t="e">
        <f t="shared" ref="N260:N291" si="1227">L260/I260-1</f>
        <v>#REF!</v>
      </c>
      <c r="Q260" s="122">
        <f>SUM(Q240:Q246)</f>
        <v>19100</v>
      </c>
      <c r="R260" s="122">
        <f>SUM(R240:R246)</f>
        <v>0</v>
      </c>
      <c r="S260" s="122">
        <f>SUM(S240:S246)</f>
        <v>19100</v>
      </c>
      <c r="T260" s="122">
        <f>SUM(T240:T246)</f>
        <v>0</v>
      </c>
      <c r="U260" s="155">
        <f t="shared" si="1165"/>
        <v>0</v>
      </c>
      <c r="Y260" s="122">
        <f>SUM(Y240:Y246)</f>
        <v>24200</v>
      </c>
      <c r="AA260" s="122">
        <f>SUM(AA240:AA246)</f>
        <v>21600</v>
      </c>
      <c r="AB260" s="122">
        <f>SUM(AB240:AB246)</f>
        <v>-2600</v>
      </c>
      <c r="AE260" s="122">
        <f>SUM(AE240:AE246)</f>
        <v>21600</v>
      </c>
      <c r="AF260" s="182"/>
      <c r="AH260" s="122">
        <f>SUM(AH240:AH246)</f>
        <v>20466</v>
      </c>
      <c r="AI260" s="17">
        <f t="shared" si="1168"/>
        <v>0.94750000000000001</v>
      </c>
      <c r="AK260" s="122">
        <f>SUM(AK231:AK237)</f>
        <v>26400</v>
      </c>
      <c r="AL260" s="193">
        <f>AK260/L260</f>
        <v>1.3821989528795811</v>
      </c>
      <c r="AM260" s="17">
        <f>AK260/AE260</f>
        <v>1.2222222222222223</v>
      </c>
      <c r="AN260" s="17">
        <f>AK260/AH260</f>
        <v>1.2899442978598652</v>
      </c>
      <c r="AS260" s="122">
        <f>SUM(AS231:AS237)</f>
        <v>26400</v>
      </c>
      <c r="AU260" s="122">
        <f>SUM(AU231:AU237)</f>
        <v>0</v>
      </c>
      <c r="AV260" s="122">
        <f>SUM(AV231:AV237)</f>
        <v>26400</v>
      </c>
      <c r="AX260" s="122">
        <f>SUM(AX231:AX237)</f>
        <v>0</v>
      </c>
      <c r="AY260" s="122">
        <f>SUM(AY231:AY237)</f>
        <v>26400</v>
      </c>
      <c r="BA260" s="122">
        <f>SUM(BA231:BA237)</f>
        <v>0</v>
      </c>
      <c r="BB260" s="122">
        <f>SUM(BB231:BB237)</f>
        <v>26400</v>
      </c>
      <c r="BD260" s="122">
        <f>SUM(BD231:BD237)</f>
        <v>4600</v>
      </c>
      <c r="BE260" s="122">
        <f>SUM(BE231:BE237)</f>
        <v>31000</v>
      </c>
      <c r="BG260" s="122">
        <f>SUM(BG231:BG237)</f>
        <v>0</v>
      </c>
      <c r="BH260" s="122">
        <f>SUM(BH231:BH237)</f>
        <v>31000</v>
      </c>
      <c r="BJ260" s="122">
        <f>SUM(BJ231:BJ237)</f>
        <v>16778</v>
      </c>
      <c r="BK260" s="236">
        <f t="shared" ref="BK260" si="1228">BJ260/BH260</f>
        <v>0.54122580645161289</v>
      </c>
      <c r="BM260" s="122">
        <f>SUM(BM240:BM246)</f>
        <v>25800</v>
      </c>
      <c r="BN260" s="236">
        <f>BM260/BJ260</f>
        <v>1.537727977112886</v>
      </c>
      <c r="BO260" s="236">
        <f>BM260/BH260</f>
        <v>0.83225806451612905</v>
      </c>
      <c r="BQ260" s="122">
        <f>SUM(BQ240:BQ246)</f>
        <v>0</v>
      </c>
      <c r="BR260" s="122">
        <f>SUM(BR240:BR246)</f>
        <v>25800</v>
      </c>
      <c r="BT260" s="122">
        <f>SUM(BT240:BT246)</f>
        <v>0</v>
      </c>
      <c r="BU260" s="122">
        <f>SUM(BU240:BU246)</f>
        <v>25800</v>
      </c>
      <c r="BW260" s="122">
        <f>SUM(BW240:BW246)</f>
        <v>0</v>
      </c>
      <c r="BX260" s="122">
        <f>SUM(BX240:BX246)</f>
        <v>25800</v>
      </c>
      <c r="BZ260" s="122">
        <f>SUM(BZ240:BZ246)</f>
        <v>0</v>
      </c>
      <c r="CA260" s="122">
        <f>SUM(CA240:CA246)</f>
        <v>25800</v>
      </c>
      <c r="CC260" s="122">
        <f>SUM(CC240:CC246)</f>
        <v>0</v>
      </c>
      <c r="CD260" s="122">
        <f>SUM(CD240:CD246)</f>
        <v>25800</v>
      </c>
      <c r="CF260" s="122">
        <f>SUM(CF240:CF246)</f>
        <v>0</v>
      </c>
      <c r="CG260" s="122">
        <f>SUM(CG240:CG246)</f>
        <v>25800</v>
      </c>
      <c r="CI260" s="122">
        <f>SUM(CI240:CI246)</f>
        <v>0</v>
      </c>
      <c r="CJ260" s="122">
        <f>SUM(CJ240:CJ246)</f>
        <v>25800</v>
      </c>
      <c r="CL260" s="319">
        <f>SUM(CL240:CL246)</f>
        <v>-18000</v>
      </c>
      <c r="CM260" s="122">
        <f>SUM(CM240:CM246)</f>
        <v>7800</v>
      </c>
      <c r="CO260" s="122">
        <f>SUM(CO239:CO246)</f>
        <v>7800</v>
      </c>
      <c r="CP260" s="122">
        <f>SUM(CP239:CP246)</f>
        <v>15600</v>
      </c>
      <c r="CR260" s="122">
        <f>SUM(CR239:CR246)</f>
        <v>0</v>
      </c>
      <c r="CS260" s="122">
        <f>SUM(CS239:CS246)</f>
        <v>15600</v>
      </c>
      <c r="CU260" s="122">
        <f>SUM(CU239:CU246)</f>
        <v>0</v>
      </c>
      <c r="CV260" s="122">
        <f>SUM(CV239:CV246)</f>
        <v>15600</v>
      </c>
      <c r="CX260" s="122">
        <f>SUM(CX239:CX246)</f>
        <v>0</v>
      </c>
      <c r="CY260" s="122">
        <f>SUM(CY239:CY246)</f>
        <v>15600</v>
      </c>
      <c r="DA260" s="122">
        <f>SUM(DA239:DA246)</f>
        <v>11262</v>
      </c>
      <c r="DC260" s="122">
        <f>SUM(DC239:DC258)</f>
        <v>16500</v>
      </c>
      <c r="DE260" s="122">
        <f>SUM(DE239:DE258)</f>
        <v>0</v>
      </c>
      <c r="DF260" s="122">
        <f>SUM(DF239:DF258)</f>
        <v>16500</v>
      </c>
      <c r="DH260" s="122">
        <f>SUM(DH239:DH258)</f>
        <v>3725</v>
      </c>
      <c r="DI260" s="122">
        <f>SUM(DI239:DI258)</f>
        <v>20225</v>
      </c>
      <c r="DK260" s="122">
        <f>SUM(DK239:DK258)</f>
        <v>0</v>
      </c>
      <c r="DL260" s="122">
        <f>SUM(DL239:DL258)</f>
        <v>20225</v>
      </c>
      <c r="DN260" s="122">
        <f>SUM(DN239:DN258)</f>
        <v>0</v>
      </c>
      <c r="DO260" s="122">
        <f>SUM(DO239:DO258)</f>
        <v>20225</v>
      </c>
      <c r="DQ260" s="122">
        <f>SUM(DQ239:DQ258)</f>
        <v>-2800</v>
      </c>
      <c r="DR260" s="122">
        <f>SUM(DR239:DR258)</f>
        <v>17425</v>
      </c>
      <c r="DT260" s="122">
        <f>SUM(DT239:DT258)</f>
        <v>0</v>
      </c>
      <c r="DU260" s="122">
        <f>SUM(DU239:DU258)</f>
        <v>17425</v>
      </c>
      <c r="DW260" s="122">
        <f>SUM(DW239:DW258)</f>
        <v>0</v>
      </c>
      <c r="DX260" s="122">
        <f>SUM(DX239:DX258)</f>
        <v>17425</v>
      </c>
      <c r="DZ260" s="122">
        <f>SUM(DZ239:DZ258)</f>
        <v>0</v>
      </c>
      <c r="EA260" s="122">
        <f>SUM(EA239:EA258)</f>
        <v>17425</v>
      </c>
      <c r="EC260" s="122">
        <f>SUM(EC239:EC258)</f>
        <v>0</v>
      </c>
      <c r="ED260" s="122">
        <f>SUM(ED239:ED258)</f>
        <v>17425</v>
      </c>
      <c r="EF260" s="122">
        <f>SUM(EF239:EF258)</f>
        <v>0</v>
      </c>
      <c r="EG260" s="122">
        <f>SUM(EG239:EG258)</f>
        <v>17425</v>
      </c>
      <c r="EI260" s="122">
        <f>SUM(EI239:EI258)</f>
        <v>17358</v>
      </c>
      <c r="EK260" s="122">
        <f>SUM(EK231:EK258)</f>
        <v>70500</v>
      </c>
      <c r="EM260" s="122">
        <f>SUM(EM239:EM258)</f>
        <v>0</v>
      </c>
      <c r="EN260" s="122">
        <f>SUM(EN231:EN258)</f>
        <v>70500</v>
      </c>
      <c r="EP260" s="122">
        <f>SUM(EP239:EP258)</f>
        <v>0</v>
      </c>
      <c r="EQ260" s="122">
        <f>SUM(EQ231:EQ258)</f>
        <v>70500</v>
      </c>
      <c r="ES260" s="122">
        <f>SUM(ES239:ES258)</f>
        <v>0</v>
      </c>
      <c r="ET260" s="122">
        <f>SUM(ET231:ET258)</f>
        <v>70500</v>
      </c>
      <c r="EV260" s="122">
        <f>SUM(EV239:EV258)</f>
        <v>-11384</v>
      </c>
      <c r="EW260" s="122">
        <f>SUM(EW231:EW258)</f>
        <v>59116</v>
      </c>
      <c r="EY260" s="122">
        <f>SUM(EY239:EY258)</f>
        <v>0</v>
      </c>
      <c r="EZ260" s="122">
        <f>SUM(EZ231:EZ258)</f>
        <v>59116</v>
      </c>
      <c r="FB260" s="122">
        <f>SUM(FB231:FB258)</f>
        <v>0</v>
      </c>
      <c r="FC260" s="122">
        <f>SUM(FC231:FC258)</f>
        <v>59116</v>
      </c>
      <c r="FE260" s="122">
        <f>SUM(FE239:FE258)</f>
        <v>0</v>
      </c>
      <c r="FF260" s="122">
        <f>SUM(FF240:FF258)</f>
        <v>35616</v>
      </c>
      <c r="FH260" s="122">
        <f>SUM(FH239:FH258)</f>
        <v>0</v>
      </c>
      <c r="FI260" s="122">
        <f>SUM(FI231:FI258)</f>
        <v>59116</v>
      </c>
      <c r="FK260" s="122">
        <f>SUM(FK231:FK258)</f>
        <v>-29750</v>
      </c>
      <c r="FL260" s="122">
        <f>SUM(FL231:FL258)</f>
        <v>29366</v>
      </c>
      <c r="FN260" s="122">
        <f>SUM(FN231:FN258)</f>
        <v>0</v>
      </c>
      <c r="FO260" s="122">
        <f>SUM(FO231:FO258)</f>
        <v>29366</v>
      </c>
      <c r="FQ260" s="122">
        <v>0</v>
      </c>
      <c r="FR260" s="122">
        <v>29366</v>
      </c>
      <c r="FT260" s="122">
        <f>SUM(FT231:FT258)</f>
        <v>31465.4</v>
      </c>
      <c r="FV260" s="122">
        <f>SUM(FV231:FV258)</f>
        <v>25000</v>
      </c>
      <c r="FW260" s="235">
        <f t="shared" ref="FW260:FW291" si="1229">FV260/FT260</f>
        <v>0.79452350836156538</v>
      </c>
    </row>
    <row r="261" spans="1:179" ht="15.75" outlineLevel="1" thickTop="1">
      <c r="A261" s="1" t="s">
        <v>76</v>
      </c>
      <c r="B261" s="1" t="s">
        <v>183</v>
      </c>
      <c r="C261" s="4" t="s">
        <v>184</v>
      </c>
      <c r="D261" s="43">
        <v>310000</v>
      </c>
      <c r="E261" s="34">
        <v>70.63</v>
      </c>
      <c r="F261" s="43">
        <v>310000</v>
      </c>
      <c r="G261" s="34">
        <v>70.63</v>
      </c>
      <c r="H261" s="46">
        <v>218968</v>
      </c>
      <c r="I261" s="36">
        <v>275000</v>
      </c>
      <c r="J261" s="14"/>
      <c r="K261" t="s">
        <v>332</v>
      </c>
      <c r="L261" s="118">
        <v>300000</v>
      </c>
      <c r="M261" s="17">
        <f t="shared" ref="M261:M291" si="1230">L261/F261-1</f>
        <v>-3.2258064516129004E-2</v>
      </c>
      <c r="N261" s="17">
        <f t="shared" si="1227"/>
        <v>9.0909090909090828E-2</v>
      </c>
      <c r="Q261" s="118">
        <v>300000</v>
      </c>
      <c r="R261" s="15">
        <v>111504</v>
      </c>
      <c r="S261" s="118">
        <v>260000</v>
      </c>
      <c r="T261" s="15">
        <f t="shared" ref="T261:T268" si="1231">S261-Q261</f>
        <v>-40000</v>
      </c>
      <c r="U261" s="16">
        <f t="shared" ref="U261:U268" si="1232">S261/Q261-1</f>
        <v>-0.1333333333333333</v>
      </c>
      <c r="Y261" s="118">
        <v>260000</v>
      </c>
      <c r="AA261" s="118">
        <v>260000</v>
      </c>
      <c r="AB261" s="185">
        <f t="shared" ref="AB261:AB292" si="1233">AA261-Y261</f>
        <v>0</v>
      </c>
      <c r="AC261" s="187">
        <f t="shared" ref="AC261:AC292" si="1234">AA261-Y261</f>
        <v>0</v>
      </c>
      <c r="AD261" s="187"/>
      <c r="AE261" s="118">
        <v>260000</v>
      </c>
      <c r="AF261" s="182"/>
      <c r="AH261" s="15">
        <v>242455</v>
      </c>
      <c r="AI261" s="17">
        <f t="shared" si="1168"/>
        <v>0.93251923076923082</v>
      </c>
      <c r="AK261" s="118">
        <v>260000</v>
      </c>
      <c r="AR261" s="15"/>
      <c r="AS261" s="15">
        <f t="shared" ref="AS261:AS291" si="1235">AR261+AK261</f>
        <v>260000</v>
      </c>
      <c r="AV261" s="15">
        <f t="shared" ref="AV261:AV291" si="1236">AS261+AU261</f>
        <v>260000</v>
      </c>
      <c r="AX261" s="15"/>
      <c r="AY261" s="15">
        <f t="shared" ref="AY261:AY291" si="1237">AV261+AX261</f>
        <v>260000</v>
      </c>
      <c r="BB261" s="15">
        <f t="shared" ref="BB261:BB291" si="1238">AY261+BA261</f>
        <v>260000</v>
      </c>
      <c r="BD261" s="15">
        <v>15000</v>
      </c>
      <c r="BE261" s="15">
        <f t="shared" ref="BE261:BE291" si="1239">BB261+BD261</f>
        <v>275000</v>
      </c>
      <c r="BG261" s="15"/>
      <c r="BH261" s="15">
        <f t="shared" ref="BH261:BH291" si="1240">BE261+BG261</f>
        <v>275000</v>
      </c>
      <c r="BJ261" s="15">
        <v>271252</v>
      </c>
      <c r="BK261" s="235">
        <f t="shared" ref="BK261" si="1241">BJ261/BH261</f>
        <v>0.98637090909090908</v>
      </c>
      <c r="BM261" s="15">
        <f>(12*20000+10000)</f>
        <v>250000</v>
      </c>
      <c r="BN261" s="235">
        <f t="shared" ref="BN261" si="1242">BM261/BJ261</f>
        <v>0.92165219058292658</v>
      </c>
      <c r="BO261" s="235">
        <f t="shared" ref="BO261" si="1243">BM261/BH261</f>
        <v>0.90909090909090906</v>
      </c>
      <c r="BQ261" s="15"/>
      <c r="BR261" s="15">
        <f t="shared" ref="BR261:BR267" si="1244">BM261+BQ261</f>
        <v>250000</v>
      </c>
      <c r="BT261" s="15"/>
      <c r="BU261" s="15">
        <f t="shared" ref="BU261:BU288" si="1245">BR261+BT261</f>
        <v>250000</v>
      </c>
      <c r="BW261" s="15"/>
      <c r="BX261" s="15">
        <f t="shared" ref="BX261:BX288" si="1246">BU261+BW261</f>
        <v>250000</v>
      </c>
      <c r="BZ261" s="15"/>
      <c r="CA261" s="15">
        <f t="shared" ref="CA261:CA288" si="1247">BX261+BZ261</f>
        <v>250000</v>
      </c>
      <c r="CC261" s="15"/>
      <c r="CD261" s="15">
        <f t="shared" ref="CD261:CD288" si="1248">CA261+CC261</f>
        <v>250000</v>
      </c>
      <c r="CF261" s="15"/>
      <c r="CG261" s="15">
        <f t="shared" ref="CG261:CG288" si="1249">CD261+CF261</f>
        <v>250000</v>
      </c>
      <c r="CI261" s="15"/>
      <c r="CJ261" s="15">
        <f t="shared" ref="CJ261:CJ288" si="1250">CG261+CI261</f>
        <v>250000</v>
      </c>
      <c r="CL261" s="15">
        <v>-50000</v>
      </c>
      <c r="CM261" s="15">
        <f t="shared" ref="CM261:CM288" si="1251">CJ261+CL261</f>
        <v>200000</v>
      </c>
      <c r="CO261" s="15">
        <v>50000</v>
      </c>
      <c r="CP261" s="15">
        <f t="shared" ref="CP261:CP288" si="1252">CM261+CO261</f>
        <v>250000</v>
      </c>
      <c r="CS261" s="15">
        <f t="shared" ref="CS261:CS288" si="1253">CP261+CR261</f>
        <v>250000</v>
      </c>
      <c r="CV261" s="15">
        <f t="shared" ref="CV261:CV288" si="1254">CS261+CU261</f>
        <v>250000</v>
      </c>
      <c r="CY261" s="15">
        <f t="shared" ref="CY261:CY288" si="1255">CV261+CX261</f>
        <v>250000</v>
      </c>
      <c r="DA261" s="15">
        <v>246882</v>
      </c>
      <c r="DC261" s="15">
        <v>380000</v>
      </c>
      <c r="DE261" s="15"/>
      <c r="DF261" s="15">
        <f t="shared" ref="DF261:DF291" si="1256">DC261+DE261</f>
        <v>380000</v>
      </c>
      <c r="DH261" s="15"/>
      <c r="DI261" s="15">
        <f t="shared" ref="DI261:DI291" si="1257">DF261+DH261</f>
        <v>380000</v>
      </c>
      <c r="DK261" s="15"/>
      <c r="DL261" s="15">
        <f t="shared" ref="DL261:DL291" si="1258">DI261+DK261</f>
        <v>380000</v>
      </c>
      <c r="DN261" s="15"/>
      <c r="DO261" s="15">
        <f t="shared" ref="DO261:DO291" si="1259">DL261+DN261</f>
        <v>380000</v>
      </c>
      <c r="DQ261" s="15"/>
      <c r="DR261" s="15">
        <f t="shared" ref="DR261:DR291" si="1260">DO261+DQ261</f>
        <v>380000</v>
      </c>
      <c r="DT261" s="15"/>
      <c r="DU261" s="15">
        <f t="shared" ref="DU261:DU291" si="1261">DR261+DT261</f>
        <v>380000</v>
      </c>
      <c r="DW261" s="15"/>
      <c r="DX261" s="15">
        <f t="shared" ref="DX261:DX291" si="1262">DU261+DW261</f>
        <v>380000</v>
      </c>
      <c r="DZ261" s="227">
        <v>-19980</v>
      </c>
      <c r="EA261" s="15">
        <f t="shared" ref="EA261:EA291" si="1263">DX261+DZ261</f>
        <v>360020</v>
      </c>
      <c r="EC261" s="227">
        <v>6980</v>
      </c>
      <c r="ED261" s="15">
        <f t="shared" ref="ED261:ED291" si="1264">EA261+EC261</f>
        <v>367000</v>
      </c>
      <c r="EF261" s="227">
        <v>7000</v>
      </c>
      <c r="EG261" s="15">
        <f t="shared" ref="EG261:EG265" si="1265">ED261+EF261</f>
        <v>374000</v>
      </c>
      <c r="EI261" s="15">
        <v>373774</v>
      </c>
      <c r="EK261" s="15">
        <v>440000</v>
      </c>
      <c r="EM261" s="227">
        <v>5000</v>
      </c>
      <c r="EN261" s="15">
        <f t="shared" ref="EN261:EN271" si="1266">EK261+EM261</f>
        <v>445000</v>
      </c>
      <c r="EP261" s="15"/>
      <c r="EQ261" s="15">
        <f t="shared" ref="EQ261:EQ271" si="1267">EN261+EP261</f>
        <v>445000</v>
      </c>
      <c r="ES261" s="15"/>
      <c r="ET261" s="15">
        <f t="shared" ref="ET261:ET271" si="1268">EQ261+ES261</f>
        <v>445000</v>
      </c>
      <c r="EV261" s="227">
        <v>-7000</v>
      </c>
      <c r="EW261" s="15">
        <f t="shared" ref="EW261:EW271" si="1269">ET261+EV261</f>
        <v>438000</v>
      </c>
      <c r="EZ261" s="15">
        <f t="shared" ref="EZ261:EZ271" si="1270">EW261+EY261</f>
        <v>438000</v>
      </c>
      <c r="FC261" s="15">
        <f t="shared" ref="FC261:FC271" si="1271">EZ261+FB261</f>
        <v>438000</v>
      </c>
      <c r="FF261" s="15">
        <f t="shared" ref="FF261:FF271" si="1272">FC261+FE261</f>
        <v>438000</v>
      </c>
      <c r="FI261" s="15">
        <f t="shared" ref="FI261:FI271" si="1273">FF261+FH261</f>
        <v>438000</v>
      </c>
      <c r="FK261" s="227">
        <v>25000</v>
      </c>
      <c r="FL261" s="15">
        <f t="shared" ref="FL261:FL271" si="1274">FI261+FK261</f>
        <v>463000</v>
      </c>
      <c r="FO261" s="15">
        <f t="shared" ref="FO261:FO271" si="1275">FL261+FN261</f>
        <v>463000</v>
      </c>
      <c r="FR261" s="15">
        <v>463000</v>
      </c>
      <c r="FT261" s="15">
        <v>460438</v>
      </c>
      <c r="FV261" s="15">
        <v>515000</v>
      </c>
      <c r="FW261" s="235">
        <f t="shared" si="1229"/>
        <v>1.1185002106689717</v>
      </c>
    </row>
    <row r="262" spans="1:179" outlineLevel="1">
      <c r="A262" s="1" t="s">
        <v>76</v>
      </c>
      <c r="B262" s="1" t="s">
        <v>142</v>
      </c>
      <c r="C262" s="4" t="s">
        <v>143</v>
      </c>
      <c r="D262" s="43">
        <v>35000</v>
      </c>
      <c r="E262" s="34">
        <v>5.71</v>
      </c>
      <c r="F262" s="43">
        <v>35000</v>
      </c>
      <c r="G262" s="34">
        <v>5.71</v>
      </c>
      <c r="H262" s="46">
        <v>2000</v>
      </c>
      <c r="I262" s="36">
        <v>2000</v>
      </c>
      <c r="J262" s="14"/>
      <c r="L262" s="118">
        <v>5000</v>
      </c>
      <c r="M262" s="17">
        <f t="shared" si="1230"/>
        <v>-0.85714285714285721</v>
      </c>
      <c r="N262" s="17">
        <f t="shared" si="1227"/>
        <v>1.5</v>
      </c>
      <c r="Q262" s="118">
        <v>5000</v>
      </c>
      <c r="R262" s="15">
        <v>0</v>
      </c>
      <c r="S262" s="118">
        <v>0</v>
      </c>
      <c r="T262" s="15">
        <f t="shared" si="1231"/>
        <v>-5000</v>
      </c>
      <c r="U262" s="16">
        <f t="shared" si="1232"/>
        <v>-1</v>
      </c>
      <c r="Y262" s="118">
        <v>0</v>
      </c>
      <c r="AA262" s="118">
        <v>0</v>
      </c>
      <c r="AB262" s="185">
        <f t="shared" si="1233"/>
        <v>0</v>
      </c>
      <c r="AC262" s="187">
        <f t="shared" si="1234"/>
        <v>0</v>
      </c>
      <c r="AD262" s="187"/>
      <c r="AE262" s="118">
        <v>0</v>
      </c>
      <c r="AF262" s="182"/>
      <c r="AH262" s="15">
        <v>0</v>
      </c>
      <c r="AK262" s="118">
        <v>0</v>
      </c>
      <c r="AR262" s="15"/>
      <c r="AS262" s="15">
        <f t="shared" si="1235"/>
        <v>0</v>
      </c>
      <c r="AV262" s="15">
        <f t="shared" si="1236"/>
        <v>0</v>
      </c>
      <c r="AX262" s="15"/>
      <c r="AY262" s="15">
        <f t="shared" si="1237"/>
        <v>0</v>
      </c>
      <c r="BB262" s="15">
        <f t="shared" si="1238"/>
        <v>0</v>
      </c>
      <c r="BD262" s="15"/>
      <c r="BE262" s="15">
        <f t="shared" si="1239"/>
        <v>0</v>
      </c>
      <c r="BG262" s="15"/>
      <c r="BH262" s="15">
        <f t="shared" si="1240"/>
        <v>0</v>
      </c>
      <c r="BM262" s="15">
        <f>+(12*2000)</f>
        <v>24000</v>
      </c>
      <c r="BN262" s="235" t="e">
        <f t="shared" ref="BN262" si="1276">BM262/BJ262</f>
        <v>#DIV/0!</v>
      </c>
      <c r="BO262" s="235" t="e">
        <f t="shared" ref="BO262" si="1277">BM262/BH262</f>
        <v>#DIV/0!</v>
      </c>
      <c r="BQ262" s="15"/>
      <c r="BR262" s="15">
        <f t="shared" si="1244"/>
        <v>24000</v>
      </c>
      <c r="BT262" s="15"/>
      <c r="BU262" s="15">
        <f t="shared" si="1245"/>
        <v>24000</v>
      </c>
      <c r="BW262" s="15">
        <v>40000</v>
      </c>
      <c r="BX262" s="15">
        <f t="shared" si="1246"/>
        <v>64000</v>
      </c>
      <c r="BZ262" s="15"/>
      <c r="CA262" s="15">
        <f t="shared" si="1247"/>
        <v>64000</v>
      </c>
      <c r="CC262" s="15"/>
      <c r="CD262" s="15">
        <f t="shared" si="1248"/>
        <v>64000</v>
      </c>
      <c r="CF262" s="15"/>
      <c r="CG262" s="15">
        <f t="shared" si="1249"/>
        <v>64000</v>
      </c>
      <c r="CI262" s="15"/>
      <c r="CJ262" s="15">
        <f t="shared" si="1250"/>
        <v>64000</v>
      </c>
      <c r="CM262" s="15">
        <f t="shared" si="1251"/>
        <v>64000</v>
      </c>
      <c r="CP262" s="15">
        <f t="shared" si="1252"/>
        <v>64000</v>
      </c>
      <c r="CS262" s="15">
        <f t="shared" si="1253"/>
        <v>64000</v>
      </c>
      <c r="CU262" s="227">
        <v>-8000</v>
      </c>
      <c r="CV262" s="15">
        <f t="shared" si="1254"/>
        <v>56000</v>
      </c>
      <c r="CX262" s="227"/>
      <c r="CY262" s="15">
        <f t="shared" si="1255"/>
        <v>56000</v>
      </c>
      <c r="DA262" s="15">
        <v>55142</v>
      </c>
      <c r="DC262" s="15">
        <v>60000</v>
      </c>
      <c r="DE262" s="15"/>
      <c r="DF262" s="15">
        <f t="shared" si="1256"/>
        <v>60000</v>
      </c>
      <c r="DH262" s="15"/>
      <c r="DI262" s="15">
        <f t="shared" si="1257"/>
        <v>60000</v>
      </c>
      <c r="DK262" s="15"/>
      <c r="DL262" s="15">
        <f t="shared" si="1258"/>
        <v>60000</v>
      </c>
      <c r="DN262" s="15"/>
      <c r="DO262" s="15">
        <f t="shared" si="1259"/>
        <v>60000</v>
      </c>
      <c r="DQ262" s="15"/>
      <c r="DR262" s="15">
        <f t="shared" si="1260"/>
        <v>60000</v>
      </c>
      <c r="DT262" s="15"/>
      <c r="DU262" s="15">
        <f t="shared" si="1261"/>
        <v>60000</v>
      </c>
      <c r="DW262" s="15"/>
      <c r="DX262" s="15">
        <f t="shared" si="1262"/>
        <v>60000</v>
      </c>
      <c r="DZ262" s="227">
        <v>-39000</v>
      </c>
      <c r="EA262" s="15">
        <f t="shared" si="1263"/>
        <v>21000</v>
      </c>
      <c r="EC262" s="15"/>
      <c r="ED262" s="15">
        <f t="shared" si="1264"/>
        <v>21000</v>
      </c>
      <c r="EF262" s="15"/>
      <c r="EG262" s="15">
        <f t="shared" si="1265"/>
        <v>21000</v>
      </c>
      <c r="EI262" s="15">
        <v>20000</v>
      </c>
      <c r="EK262" s="15">
        <v>50000</v>
      </c>
      <c r="EM262" s="15"/>
      <c r="EN262" s="15">
        <f t="shared" si="1266"/>
        <v>50000</v>
      </c>
      <c r="EP262" s="15"/>
      <c r="EQ262" s="15">
        <f t="shared" si="1267"/>
        <v>50000</v>
      </c>
      <c r="ES262" s="15"/>
      <c r="ET262" s="15">
        <f t="shared" si="1268"/>
        <v>50000</v>
      </c>
      <c r="EW262" s="15">
        <f t="shared" si="1269"/>
        <v>50000</v>
      </c>
      <c r="EZ262" s="15">
        <f t="shared" si="1270"/>
        <v>50000</v>
      </c>
      <c r="FC262" s="15">
        <f t="shared" si="1271"/>
        <v>50000</v>
      </c>
      <c r="FF262" s="15">
        <f t="shared" si="1272"/>
        <v>50000</v>
      </c>
      <c r="FI262" s="15">
        <f t="shared" si="1273"/>
        <v>50000</v>
      </c>
      <c r="FK262" s="227">
        <v>-15000</v>
      </c>
      <c r="FL262" s="15">
        <f t="shared" si="1274"/>
        <v>35000</v>
      </c>
      <c r="FO262" s="15">
        <f t="shared" si="1275"/>
        <v>35000</v>
      </c>
      <c r="FR262" s="15">
        <v>35000</v>
      </c>
      <c r="FT262" s="15">
        <v>29888</v>
      </c>
      <c r="FV262" s="15">
        <v>35000</v>
      </c>
      <c r="FW262" s="235">
        <f t="shared" si="1229"/>
        <v>1.1710385438972162</v>
      </c>
    </row>
    <row r="263" spans="1:179" outlineLevel="1">
      <c r="A263" s="1" t="s">
        <v>76</v>
      </c>
      <c r="B263" s="1" t="s">
        <v>185</v>
      </c>
      <c r="C263" s="4" t="s">
        <v>186</v>
      </c>
      <c r="D263" s="43">
        <v>68000</v>
      </c>
      <c r="E263" s="34">
        <v>72.09</v>
      </c>
      <c r="F263" s="43">
        <v>68000</v>
      </c>
      <c r="G263" s="34">
        <v>72.09</v>
      </c>
      <c r="H263" s="46">
        <v>49024</v>
      </c>
      <c r="I263" s="36">
        <v>61000</v>
      </c>
      <c r="J263" s="14"/>
      <c r="K263" t="s">
        <v>332</v>
      </c>
      <c r="L263" s="118">
        <v>65000</v>
      </c>
      <c r="M263" s="17">
        <f t="shared" si="1230"/>
        <v>-4.4117647058823484E-2</v>
      </c>
      <c r="N263" s="17">
        <f t="shared" si="1227"/>
        <v>6.5573770491803351E-2</v>
      </c>
      <c r="Q263" s="118">
        <v>65000</v>
      </c>
      <c r="R263" s="15">
        <v>24682</v>
      </c>
      <c r="S263" s="118">
        <v>50000</v>
      </c>
      <c r="T263" s="15">
        <f t="shared" si="1231"/>
        <v>-15000</v>
      </c>
      <c r="U263" s="16">
        <f t="shared" si="1232"/>
        <v>-0.23076923076923073</v>
      </c>
      <c r="Y263" s="118">
        <v>50000</v>
      </c>
      <c r="AA263" s="118">
        <v>51000</v>
      </c>
      <c r="AB263" s="185">
        <f t="shared" si="1233"/>
        <v>1000</v>
      </c>
      <c r="AC263" s="187">
        <f t="shared" si="1234"/>
        <v>1000</v>
      </c>
      <c r="AD263" s="187"/>
      <c r="AE263" s="118">
        <v>53100</v>
      </c>
      <c r="AF263" s="182">
        <f>AE263-AA263</f>
        <v>2100</v>
      </c>
      <c r="AH263" s="15">
        <v>53095</v>
      </c>
      <c r="AI263" s="17">
        <f t="shared" ref="AI263:AI265" si="1278">AH263/AE263</f>
        <v>0.99990583804143129</v>
      </c>
      <c r="AK263" s="118">
        <v>55000</v>
      </c>
      <c r="AR263" s="15"/>
      <c r="AS263" s="15">
        <f t="shared" si="1235"/>
        <v>55000</v>
      </c>
      <c r="AV263" s="15">
        <f t="shared" si="1236"/>
        <v>55000</v>
      </c>
      <c r="AX263" s="15"/>
      <c r="AY263" s="15">
        <f t="shared" si="1237"/>
        <v>55000</v>
      </c>
      <c r="BB263" s="15">
        <f t="shared" si="1238"/>
        <v>55000</v>
      </c>
      <c r="BD263" s="15">
        <v>5000</v>
      </c>
      <c r="BE263" s="15">
        <f t="shared" si="1239"/>
        <v>60000</v>
      </c>
      <c r="BG263" s="15">
        <v>1000</v>
      </c>
      <c r="BH263" s="15">
        <f t="shared" si="1240"/>
        <v>61000</v>
      </c>
      <c r="BJ263" s="15">
        <v>60864</v>
      </c>
      <c r="BK263" s="235">
        <f t="shared" ref="BK263:BK265" si="1279">BJ263/BH263</f>
        <v>0.9977704918032787</v>
      </c>
      <c r="BM263" s="15">
        <f>0.245*BM261</f>
        <v>61250</v>
      </c>
      <c r="BN263" s="235">
        <f t="shared" ref="BN263:BN265" si="1280">BM263/BJ263</f>
        <v>1.0063420084121977</v>
      </c>
      <c r="BO263" s="235">
        <f t="shared" ref="BO263:BO265" si="1281">BM263/BH263</f>
        <v>1.0040983606557377</v>
      </c>
      <c r="BQ263" s="15"/>
      <c r="BR263" s="15">
        <f t="shared" si="1244"/>
        <v>61250</v>
      </c>
      <c r="BT263" s="15"/>
      <c r="BU263" s="15">
        <f t="shared" si="1245"/>
        <v>61250</v>
      </c>
      <c r="BW263" s="15"/>
      <c r="BX263" s="15">
        <f t="shared" si="1246"/>
        <v>61250</v>
      </c>
      <c r="BZ263" s="15"/>
      <c r="CA263" s="15">
        <f t="shared" si="1247"/>
        <v>61250</v>
      </c>
      <c r="CC263" s="15"/>
      <c r="CD263" s="15">
        <f t="shared" si="1248"/>
        <v>61250</v>
      </c>
      <c r="CF263" s="15"/>
      <c r="CG263" s="15">
        <f t="shared" si="1249"/>
        <v>61250</v>
      </c>
      <c r="CI263" s="15"/>
      <c r="CJ263" s="15">
        <f t="shared" si="1250"/>
        <v>61250</v>
      </c>
      <c r="CM263" s="15">
        <f t="shared" si="1251"/>
        <v>61250</v>
      </c>
      <c r="CO263" s="15">
        <v>2700</v>
      </c>
      <c r="CP263" s="15">
        <f t="shared" si="1252"/>
        <v>63950</v>
      </c>
      <c r="CS263" s="15">
        <f t="shared" si="1253"/>
        <v>63950</v>
      </c>
      <c r="CU263" s="227">
        <v>7500</v>
      </c>
      <c r="CV263" s="15">
        <f t="shared" si="1254"/>
        <v>71450</v>
      </c>
      <c r="CX263" s="227"/>
      <c r="CY263" s="15">
        <f t="shared" si="1255"/>
        <v>71450</v>
      </c>
      <c r="DA263" s="15">
        <v>71085</v>
      </c>
      <c r="DC263" s="15">
        <f>DC261*0.25</f>
        <v>95000</v>
      </c>
      <c r="DE263" s="15"/>
      <c r="DF263" s="15">
        <f t="shared" si="1256"/>
        <v>95000</v>
      </c>
      <c r="DH263" s="15"/>
      <c r="DI263" s="15">
        <f t="shared" si="1257"/>
        <v>95000</v>
      </c>
      <c r="DK263" s="15"/>
      <c r="DL263" s="15">
        <f t="shared" si="1258"/>
        <v>95000</v>
      </c>
      <c r="DN263" s="15"/>
      <c r="DO263" s="15">
        <f t="shared" si="1259"/>
        <v>95000</v>
      </c>
      <c r="DQ263" s="15"/>
      <c r="DR263" s="15">
        <f t="shared" si="1260"/>
        <v>95000</v>
      </c>
      <c r="DT263" s="15"/>
      <c r="DU263" s="15">
        <f t="shared" si="1261"/>
        <v>95000</v>
      </c>
      <c r="DW263" s="15"/>
      <c r="DX263" s="15">
        <f t="shared" si="1262"/>
        <v>95000</v>
      </c>
      <c r="DZ263" s="15"/>
      <c r="EA263" s="15">
        <f t="shared" si="1263"/>
        <v>95000</v>
      </c>
      <c r="EC263" s="15"/>
      <c r="ED263" s="15">
        <f t="shared" si="1264"/>
        <v>95000</v>
      </c>
      <c r="EF263" s="15"/>
      <c r="EG263" s="15">
        <f t="shared" si="1265"/>
        <v>95000</v>
      </c>
      <c r="EI263" s="15">
        <v>92136</v>
      </c>
      <c r="EK263" s="15">
        <v>100000</v>
      </c>
      <c r="EM263" s="15"/>
      <c r="EN263" s="15">
        <f t="shared" si="1266"/>
        <v>100000</v>
      </c>
      <c r="EP263" s="15"/>
      <c r="EQ263" s="15">
        <f t="shared" si="1267"/>
        <v>100000</v>
      </c>
      <c r="ES263" s="15"/>
      <c r="ET263" s="15">
        <f t="shared" si="1268"/>
        <v>100000</v>
      </c>
      <c r="EW263" s="15">
        <f t="shared" si="1269"/>
        <v>100000</v>
      </c>
      <c r="EZ263" s="15">
        <f t="shared" si="1270"/>
        <v>100000</v>
      </c>
      <c r="FC263" s="15">
        <f t="shared" si="1271"/>
        <v>100000</v>
      </c>
      <c r="FF263" s="15">
        <f t="shared" si="1272"/>
        <v>100000</v>
      </c>
      <c r="FI263" s="15">
        <f t="shared" si="1273"/>
        <v>100000</v>
      </c>
      <c r="FK263" s="227">
        <v>8000</v>
      </c>
      <c r="FL263" s="15">
        <f t="shared" si="1274"/>
        <v>108000</v>
      </c>
      <c r="FN263" s="227">
        <v>7300</v>
      </c>
      <c r="FO263" s="15">
        <f t="shared" si="1275"/>
        <v>115300</v>
      </c>
      <c r="FR263" s="15">
        <v>115300</v>
      </c>
      <c r="FT263" s="15">
        <v>115248</v>
      </c>
      <c r="FV263" s="15">
        <v>129000</v>
      </c>
      <c r="FW263" s="235">
        <f t="shared" si="1229"/>
        <v>1.1193252811328613</v>
      </c>
    </row>
    <row r="264" spans="1:179" outlineLevel="1">
      <c r="A264" s="1" t="s">
        <v>76</v>
      </c>
      <c r="B264" s="1" t="s">
        <v>187</v>
      </c>
      <c r="C264" s="4" t="s">
        <v>188</v>
      </c>
      <c r="D264" s="43">
        <v>24000</v>
      </c>
      <c r="E264" s="34">
        <v>73.78</v>
      </c>
      <c r="F264" s="43">
        <v>24000</v>
      </c>
      <c r="G264" s="34">
        <v>73.78</v>
      </c>
      <c r="H264" s="46">
        <v>17708</v>
      </c>
      <c r="I264" s="36">
        <v>22000</v>
      </c>
      <c r="J264" s="14"/>
      <c r="K264" t="s">
        <v>332</v>
      </c>
      <c r="L264" s="118">
        <v>24000</v>
      </c>
      <c r="M264" s="17">
        <f t="shared" si="1230"/>
        <v>0</v>
      </c>
      <c r="N264" s="17">
        <f t="shared" si="1227"/>
        <v>9.0909090909090828E-2</v>
      </c>
      <c r="Q264" s="118">
        <v>24000</v>
      </c>
      <c r="R264" s="15">
        <v>8960</v>
      </c>
      <c r="S264" s="118">
        <v>21000</v>
      </c>
      <c r="T264" s="15">
        <f t="shared" si="1231"/>
        <v>-3000</v>
      </c>
      <c r="U264" s="16">
        <f t="shared" si="1232"/>
        <v>-0.125</v>
      </c>
      <c r="Y264" s="118">
        <v>21000</v>
      </c>
      <c r="AA264" s="118">
        <v>18500</v>
      </c>
      <c r="AB264" s="185">
        <f t="shared" si="1233"/>
        <v>-2500</v>
      </c>
      <c r="AC264" s="187">
        <f t="shared" si="1234"/>
        <v>-2500</v>
      </c>
      <c r="AD264" s="187"/>
      <c r="AE264" s="118">
        <v>19300</v>
      </c>
      <c r="AF264" s="182">
        <f>AE264-AA264</f>
        <v>800</v>
      </c>
      <c r="AH264" s="15">
        <v>19273</v>
      </c>
      <c r="AI264" s="17">
        <f t="shared" si="1278"/>
        <v>0.99860103626943009</v>
      </c>
      <c r="AK264" s="118">
        <v>23000</v>
      </c>
      <c r="AR264" s="15"/>
      <c r="AS264" s="15">
        <f t="shared" si="1235"/>
        <v>23000</v>
      </c>
      <c r="AV264" s="15">
        <f t="shared" si="1236"/>
        <v>23000</v>
      </c>
      <c r="AX264" s="15"/>
      <c r="AY264" s="15">
        <f t="shared" si="1237"/>
        <v>23000</v>
      </c>
      <c r="BB264" s="15">
        <f t="shared" si="1238"/>
        <v>23000</v>
      </c>
      <c r="BD264" s="15">
        <v>2000</v>
      </c>
      <c r="BE264" s="15">
        <f t="shared" si="1239"/>
        <v>25000</v>
      </c>
      <c r="BG264" s="15"/>
      <c r="BH264" s="15">
        <f t="shared" si="1240"/>
        <v>25000</v>
      </c>
      <c r="BJ264" s="15">
        <v>19642</v>
      </c>
      <c r="BK264" s="235">
        <f t="shared" si="1279"/>
        <v>0.78568000000000005</v>
      </c>
      <c r="BM264" s="15">
        <f>0.09*BM261</f>
        <v>22500</v>
      </c>
      <c r="BN264" s="235">
        <f t="shared" si="1280"/>
        <v>1.1455045311068119</v>
      </c>
      <c r="BO264" s="235">
        <f t="shared" si="1281"/>
        <v>0.9</v>
      </c>
      <c r="BQ264" s="15"/>
      <c r="BR264" s="15">
        <f t="shared" si="1244"/>
        <v>22500</v>
      </c>
      <c r="BT264" s="15"/>
      <c r="BU264" s="15">
        <f t="shared" si="1245"/>
        <v>22500</v>
      </c>
      <c r="BW264" s="15"/>
      <c r="BX264" s="15">
        <f t="shared" si="1246"/>
        <v>22500</v>
      </c>
      <c r="BZ264" s="15"/>
      <c r="CA264" s="15">
        <f t="shared" si="1247"/>
        <v>22500</v>
      </c>
      <c r="CC264" s="15"/>
      <c r="CD264" s="15">
        <f t="shared" si="1248"/>
        <v>22500</v>
      </c>
      <c r="CF264" s="15"/>
      <c r="CG264" s="15">
        <f t="shared" si="1249"/>
        <v>22500</v>
      </c>
      <c r="CI264" s="15"/>
      <c r="CJ264" s="15">
        <f t="shared" si="1250"/>
        <v>22500</v>
      </c>
      <c r="CM264" s="15">
        <f t="shared" si="1251"/>
        <v>22500</v>
      </c>
      <c r="CP264" s="15">
        <f t="shared" si="1252"/>
        <v>22500</v>
      </c>
      <c r="CS264" s="15">
        <f t="shared" si="1253"/>
        <v>22500</v>
      </c>
      <c r="CU264" s="227">
        <v>-1500</v>
      </c>
      <c r="CV264" s="15">
        <f t="shared" si="1254"/>
        <v>21000</v>
      </c>
      <c r="CX264" s="227"/>
      <c r="CY264" s="15">
        <f t="shared" si="1255"/>
        <v>21000</v>
      </c>
      <c r="DA264" s="15">
        <v>20930</v>
      </c>
      <c r="DC264" s="15">
        <f>DC261*0.1</f>
        <v>38000</v>
      </c>
      <c r="DE264" s="15"/>
      <c r="DF264" s="15">
        <f t="shared" si="1256"/>
        <v>38000</v>
      </c>
      <c r="DH264" s="15"/>
      <c r="DI264" s="15">
        <f t="shared" si="1257"/>
        <v>38000</v>
      </c>
      <c r="DK264" s="15"/>
      <c r="DL264" s="15">
        <f t="shared" si="1258"/>
        <v>38000</v>
      </c>
      <c r="DN264" s="15"/>
      <c r="DO264" s="15">
        <f t="shared" si="1259"/>
        <v>38000</v>
      </c>
      <c r="DQ264" s="15"/>
      <c r="DR264" s="15">
        <f t="shared" si="1260"/>
        <v>38000</v>
      </c>
      <c r="DT264" s="15"/>
      <c r="DU264" s="15">
        <f t="shared" si="1261"/>
        <v>38000</v>
      </c>
      <c r="DW264" s="15"/>
      <c r="DX264" s="15">
        <f t="shared" si="1262"/>
        <v>38000</v>
      </c>
      <c r="DZ264" s="15"/>
      <c r="EA264" s="15">
        <f t="shared" si="1263"/>
        <v>38000</v>
      </c>
      <c r="EC264" s="15"/>
      <c r="ED264" s="15">
        <f t="shared" si="1264"/>
        <v>38000</v>
      </c>
      <c r="EF264" s="227">
        <v>-4000</v>
      </c>
      <c r="EG264" s="15">
        <f t="shared" si="1265"/>
        <v>34000</v>
      </c>
      <c r="EI264" s="15">
        <v>33437</v>
      </c>
      <c r="EK264" s="15">
        <v>50000</v>
      </c>
      <c r="EM264" s="15"/>
      <c r="EN264" s="15">
        <f t="shared" si="1266"/>
        <v>50000</v>
      </c>
      <c r="EP264" s="15"/>
      <c r="EQ264" s="15">
        <f t="shared" si="1267"/>
        <v>50000</v>
      </c>
      <c r="ES264" s="15"/>
      <c r="ET264" s="15">
        <f t="shared" si="1268"/>
        <v>50000</v>
      </c>
      <c r="EW264" s="15">
        <f t="shared" si="1269"/>
        <v>50000</v>
      </c>
      <c r="EZ264" s="15">
        <f t="shared" si="1270"/>
        <v>50000</v>
      </c>
      <c r="FC264" s="15">
        <f t="shared" si="1271"/>
        <v>50000</v>
      </c>
      <c r="FF264" s="15">
        <f t="shared" si="1272"/>
        <v>50000</v>
      </c>
      <c r="FI264" s="15">
        <f t="shared" si="1273"/>
        <v>50000</v>
      </c>
      <c r="FL264" s="15">
        <f t="shared" si="1274"/>
        <v>50000</v>
      </c>
      <c r="FO264" s="15">
        <f t="shared" si="1275"/>
        <v>50000</v>
      </c>
      <c r="FR264" s="15">
        <v>50000</v>
      </c>
      <c r="FT264" s="15">
        <v>41822</v>
      </c>
      <c r="FV264" s="15">
        <v>47000</v>
      </c>
      <c r="FW264" s="235">
        <f t="shared" si="1229"/>
        <v>1.1238104346994404</v>
      </c>
    </row>
    <row r="265" spans="1:179" outlineLevel="1">
      <c r="A265" s="1" t="s">
        <v>76</v>
      </c>
      <c r="B265" s="1" t="s">
        <v>223</v>
      </c>
      <c r="C265" s="4" t="s">
        <v>224</v>
      </c>
      <c r="D265" s="43">
        <v>2500</v>
      </c>
      <c r="E265" s="34">
        <v>65.36</v>
      </c>
      <c r="F265" s="43">
        <v>2500</v>
      </c>
      <c r="G265" s="34">
        <v>65.36</v>
      </c>
      <c r="H265" s="46">
        <v>1634</v>
      </c>
      <c r="I265" s="36">
        <v>2500</v>
      </c>
      <c r="J265" s="14"/>
      <c r="K265" t="s">
        <v>332</v>
      </c>
      <c r="L265" s="118">
        <v>2500</v>
      </c>
      <c r="M265" s="17">
        <f t="shared" si="1230"/>
        <v>0</v>
      </c>
      <c r="N265" s="17">
        <f t="shared" si="1227"/>
        <v>0</v>
      </c>
      <c r="Q265" s="118">
        <v>2500</v>
      </c>
      <c r="R265" s="15">
        <v>884</v>
      </c>
      <c r="S265" s="118">
        <v>2000</v>
      </c>
      <c r="T265" s="15">
        <f t="shared" si="1231"/>
        <v>-500</v>
      </c>
      <c r="U265" s="16">
        <f t="shared" si="1232"/>
        <v>-0.19999999999999996</v>
      </c>
      <c r="Y265" s="118">
        <v>2000</v>
      </c>
      <c r="AA265" s="118">
        <v>2000</v>
      </c>
      <c r="AB265" s="185">
        <f t="shared" si="1233"/>
        <v>0</v>
      </c>
      <c r="AC265" s="187">
        <f t="shared" si="1234"/>
        <v>0</v>
      </c>
      <c r="AD265" s="187"/>
      <c r="AE265" s="118">
        <v>2000</v>
      </c>
      <c r="AF265" s="182"/>
      <c r="AH265" s="15">
        <v>1966</v>
      </c>
      <c r="AI265" s="17">
        <f t="shared" si="1278"/>
        <v>0.98299999999999998</v>
      </c>
      <c r="AK265" s="118">
        <v>2000</v>
      </c>
      <c r="AR265" s="15"/>
      <c r="AS265" s="15">
        <f t="shared" si="1235"/>
        <v>2000</v>
      </c>
      <c r="AV265" s="15">
        <f t="shared" si="1236"/>
        <v>2000</v>
      </c>
      <c r="AX265" s="15"/>
      <c r="AY265" s="15">
        <f t="shared" si="1237"/>
        <v>2000</v>
      </c>
      <c r="BB265" s="15">
        <f t="shared" si="1238"/>
        <v>2000</v>
      </c>
      <c r="BD265" s="15">
        <v>1000</v>
      </c>
      <c r="BE265" s="15">
        <f t="shared" si="1239"/>
        <v>3000</v>
      </c>
      <c r="BG265" s="15"/>
      <c r="BH265" s="15">
        <f t="shared" si="1240"/>
        <v>3000</v>
      </c>
      <c r="BJ265" s="15">
        <v>2379</v>
      </c>
      <c r="BK265" s="235">
        <f t="shared" si="1279"/>
        <v>0.79300000000000004</v>
      </c>
      <c r="BM265" s="15">
        <v>3000</v>
      </c>
      <c r="BN265" s="235">
        <f t="shared" si="1280"/>
        <v>1.2610340479192939</v>
      </c>
      <c r="BO265" s="235">
        <f t="shared" si="1281"/>
        <v>1</v>
      </c>
      <c r="BQ265" s="15"/>
      <c r="BR265" s="15">
        <f t="shared" si="1244"/>
        <v>3000</v>
      </c>
      <c r="BT265" s="15"/>
      <c r="BU265" s="15">
        <f t="shared" si="1245"/>
        <v>3000</v>
      </c>
      <c r="BW265" s="15"/>
      <c r="BX265" s="15">
        <f t="shared" si="1246"/>
        <v>3000</v>
      </c>
      <c r="BZ265" s="15"/>
      <c r="CA265" s="15">
        <f t="shared" si="1247"/>
        <v>3000</v>
      </c>
      <c r="CC265" s="15"/>
      <c r="CD265" s="15">
        <f t="shared" si="1248"/>
        <v>3000</v>
      </c>
      <c r="CF265" s="15"/>
      <c r="CG265" s="15">
        <f t="shared" si="1249"/>
        <v>3000</v>
      </c>
      <c r="CI265" s="15"/>
      <c r="CJ265" s="15">
        <f t="shared" si="1250"/>
        <v>3000</v>
      </c>
      <c r="CM265" s="15">
        <f t="shared" si="1251"/>
        <v>3000</v>
      </c>
      <c r="CP265" s="15">
        <f t="shared" si="1252"/>
        <v>3000</v>
      </c>
      <c r="CS265" s="15">
        <f t="shared" si="1253"/>
        <v>3000</v>
      </c>
      <c r="CV265" s="15">
        <f t="shared" si="1254"/>
        <v>3000</v>
      </c>
      <c r="CY265" s="15">
        <f t="shared" si="1255"/>
        <v>3000</v>
      </c>
      <c r="DA265" s="15">
        <v>2178</v>
      </c>
      <c r="DC265" s="15">
        <v>3000</v>
      </c>
      <c r="DE265" s="15"/>
      <c r="DF265" s="15">
        <f t="shared" si="1256"/>
        <v>3000</v>
      </c>
      <c r="DH265" s="15"/>
      <c r="DI265" s="15">
        <f t="shared" si="1257"/>
        <v>3000</v>
      </c>
      <c r="DK265" s="15"/>
      <c r="DL265" s="15">
        <f t="shared" si="1258"/>
        <v>3000</v>
      </c>
      <c r="DN265" s="15"/>
      <c r="DO265" s="15">
        <f t="shared" si="1259"/>
        <v>3000</v>
      </c>
      <c r="DQ265" s="15"/>
      <c r="DR265" s="15">
        <f t="shared" si="1260"/>
        <v>3000</v>
      </c>
      <c r="DT265" s="15"/>
      <c r="DU265" s="15">
        <f t="shared" si="1261"/>
        <v>3000</v>
      </c>
      <c r="DW265" s="15"/>
      <c r="DX265" s="15">
        <f t="shared" si="1262"/>
        <v>3000</v>
      </c>
      <c r="DZ265" s="227">
        <v>1000</v>
      </c>
      <c r="EA265" s="15">
        <f t="shared" si="1263"/>
        <v>4000</v>
      </c>
      <c r="EC265" s="15"/>
      <c r="ED265" s="15">
        <f t="shared" si="1264"/>
        <v>4000</v>
      </c>
      <c r="EF265" s="15"/>
      <c r="EG265" s="15">
        <f t="shared" si="1265"/>
        <v>4000</v>
      </c>
      <c r="EI265" s="15">
        <v>3611</v>
      </c>
      <c r="EK265" s="15">
        <v>5000</v>
      </c>
      <c r="EM265" s="15"/>
      <c r="EN265" s="15">
        <f t="shared" si="1266"/>
        <v>5000</v>
      </c>
      <c r="EP265" s="15"/>
      <c r="EQ265" s="15">
        <f t="shared" si="1267"/>
        <v>5000</v>
      </c>
      <c r="ES265" s="15"/>
      <c r="ET265" s="15">
        <f t="shared" si="1268"/>
        <v>5000</v>
      </c>
      <c r="EW265" s="15">
        <f t="shared" si="1269"/>
        <v>5000</v>
      </c>
      <c r="EZ265" s="15">
        <f t="shared" si="1270"/>
        <v>5000</v>
      </c>
      <c r="FC265" s="15">
        <f t="shared" si="1271"/>
        <v>5000</v>
      </c>
      <c r="FF265" s="15">
        <f t="shared" si="1272"/>
        <v>5000</v>
      </c>
      <c r="FI265" s="15">
        <f t="shared" si="1273"/>
        <v>5000</v>
      </c>
      <c r="FK265" s="227">
        <v>1000</v>
      </c>
      <c r="FL265" s="15">
        <f t="shared" si="1274"/>
        <v>6000</v>
      </c>
      <c r="FO265" s="15">
        <f t="shared" si="1275"/>
        <v>6000</v>
      </c>
      <c r="FR265" s="15">
        <v>6000</v>
      </c>
      <c r="FT265" s="15">
        <v>3960</v>
      </c>
      <c r="FV265" s="15">
        <v>4500</v>
      </c>
      <c r="FW265" s="235">
        <f t="shared" si="1229"/>
        <v>1.1363636363636365</v>
      </c>
    </row>
    <row r="266" spans="1:179" outlineLevel="1">
      <c r="A266" s="1" t="s">
        <v>76</v>
      </c>
      <c r="B266" s="1" t="s">
        <v>307</v>
      </c>
      <c r="C266" s="4" t="s">
        <v>308</v>
      </c>
      <c r="D266" s="43">
        <v>0</v>
      </c>
      <c r="E266" s="34">
        <v>0</v>
      </c>
      <c r="F266" s="43">
        <v>0</v>
      </c>
      <c r="G266" s="34">
        <v>0</v>
      </c>
      <c r="H266" s="46">
        <v>1029</v>
      </c>
      <c r="I266" s="36">
        <v>1029</v>
      </c>
      <c r="J266" s="14"/>
      <c r="L266" s="118">
        <v>1100</v>
      </c>
      <c r="M266" s="17" t="e">
        <f t="shared" si="1230"/>
        <v>#DIV/0!</v>
      </c>
      <c r="N266" s="17">
        <f t="shared" si="1227"/>
        <v>6.899902818270176E-2</v>
      </c>
      <c r="Q266" s="118">
        <v>1100</v>
      </c>
      <c r="R266" s="15">
        <v>0</v>
      </c>
      <c r="S266" s="118">
        <v>0</v>
      </c>
      <c r="T266" s="15">
        <f t="shared" si="1231"/>
        <v>-1100</v>
      </c>
      <c r="U266" s="16">
        <f t="shared" si="1232"/>
        <v>-1</v>
      </c>
      <c r="Y266" s="118">
        <v>0</v>
      </c>
      <c r="AA266" s="118">
        <v>0</v>
      </c>
      <c r="AB266" s="185">
        <f t="shared" si="1233"/>
        <v>0</v>
      </c>
      <c r="AC266" s="187">
        <f t="shared" si="1234"/>
        <v>0</v>
      </c>
      <c r="AD266" s="187"/>
      <c r="AE266" s="118">
        <v>0</v>
      </c>
      <c r="AF266" s="182"/>
      <c r="AH266" s="15">
        <v>0</v>
      </c>
      <c r="AR266" s="15"/>
      <c r="AS266" s="15">
        <f t="shared" si="1235"/>
        <v>0</v>
      </c>
      <c r="AV266" s="15">
        <f t="shared" si="1236"/>
        <v>0</v>
      </c>
      <c r="AX266" s="15"/>
      <c r="AY266" s="15">
        <f t="shared" si="1237"/>
        <v>0</v>
      </c>
      <c r="BB266" s="15">
        <f t="shared" si="1238"/>
        <v>0</v>
      </c>
      <c r="BD266" s="15"/>
      <c r="BE266" s="15">
        <f t="shared" si="1239"/>
        <v>0</v>
      </c>
      <c r="BG266" s="15"/>
      <c r="BH266" s="15">
        <f t="shared" si="1240"/>
        <v>0</v>
      </c>
      <c r="BQ266" s="15"/>
      <c r="BR266" s="15">
        <f t="shared" si="1244"/>
        <v>0</v>
      </c>
      <c r="BT266" s="15"/>
      <c r="BU266" s="15">
        <f t="shared" si="1245"/>
        <v>0</v>
      </c>
      <c r="BW266" s="15"/>
      <c r="BX266" s="15">
        <f t="shared" si="1246"/>
        <v>0</v>
      </c>
      <c r="BZ266" s="15"/>
      <c r="CA266" s="15">
        <f t="shared" si="1247"/>
        <v>0</v>
      </c>
      <c r="CC266" s="15"/>
      <c r="CD266" s="15">
        <f t="shared" si="1248"/>
        <v>0</v>
      </c>
      <c r="CF266" s="15"/>
      <c r="CG266" s="15">
        <f t="shared" si="1249"/>
        <v>0</v>
      </c>
      <c r="CI266" s="15"/>
      <c r="CJ266" s="15">
        <f t="shared" si="1250"/>
        <v>0</v>
      </c>
      <c r="CM266" s="15">
        <f t="shared" si="1251"/>
        <v>0</v>
      </c>
      <c r="CP266" s="15">
        <f t="shared" si="1252"/>
        <v>0</v>
      </c>
      <c r="CS266" s="15">
        <f t="shared" si="1253"/>
        <v>0</v>
      </c>
      <c r="CV266" s="15">
        <f t="shared" si="1254"/>
        <v>0</v>
      </c>
      <c r="CY266" s="15">
        <f t="shared" si="1255"/>
        <v>0</v>
      </c>
      <c r="DA266" s="15">
        <v>0</v>
      </c>
      <c r="DE266" s="15"/>
      <c r="DF266" s="15">
        <f t="shared" si="1256"/>
        <v>0</v>
      </c>
      <c r="DH266" s="15"/>
      <c r="DI266" s="15">
        <f t="shared" si="1257"/>
        <v>0</v>
      </c>
      <c r="DK266" s="15"/>
      <c r="DL266" s="15">
        <f t="shared" si="1258"/>
        <v>0</v>
      </c>
      <c r="DN266" s="15"/>
      <c r="DO266" s="15">
        <f t="shared" si="1259"/>
        <v>0</v>
      </c>
      <c r="DQ266" s="15"/>
      <c r="DR266" s="15">
        <f t="shared" si="1260"/>
        <v>0</v>
      </c>
      <c r="DT266" s="15"/>
      <c r="DU266" s="15">
        <f t="shared" si="1261"/>
        <v>0</v>
      </c>
      <c r="DW266" s="15"/>
      <c r="DX266" s="15">
        <f t="shared" si="1262"/>
        <v>0</v>
      </c>
      <c r="DZ266" s="15"/>
      <c r="EA266" s="15">
        <f t="shared" si="1263"/>
        <v>0</v>
      </c>
      <c r="EC266" s="15"/>
      <c r="ED266" s="15">
        <f>EA266+EC266</f>
        <v>0</v>
      </c>
      <c r="EF266" s="15"/>
      <c r="EG266" s="15">
        <f>ED266+EF266</f>
        <v>0</v>
      </c>
      <c r="EK266" s="15"/>
      <c r="EM266" s="15"/>
      <c r="EN266" s="15">
        <f t="shared" si="1266"/>
        <v>0</v>
      </c>
      <c r="EP266" s="15"/>
      <c r="EQ266" s="15">
        <f t="shared" si="1267"/>
        <v>0</v>
      </c>
      <c r="ES266" s="15"/>
      <c r="ET266" s="15">
        <f t="shared" si="1268"/>
        <v>0</v>
      </c>
      <c r="EW266" s="15">
        <f t="shared" si="1269"/>
        <v>0</v>
      </c>
      <c r="EZ266" s="15">
        <f t="shared" si="1270"/>
        <v>0</v>
      </c>
      <c r="FC266" s="15">
        <f t="shared" si="1271"/>
        <v>0</v>
      </c>
      <c r="FF266" s="15">
        <f t="shared" si="1272"/>
        <v>0</v>
      </c>
      <c r="FI266" s="15">
        <f t="shared" si="1273"/>
        <v>0</v>
      </c>
      <c r="FL266" s="15">
        <f t="shared" si="1274"/>
        <v>0</v>
      </c>
      <c r="FO266" s="15">
        <f t="shared" si="1275"/>
        <v>0</v>
      </c>
      <c r="FR266" s="15">
        <v>0</v>
      </c>
      <c r="FT266" s="15">
        <v>0</v>
      </c>
      <c r="FV266" s="15">
        <v>0</v>
      </c>
      <c r="FW266" s="235" t="e">
        <f t="shared" si="1229"/>
        <v>#DIV/0!</v>
      </c>
    </row>
    <row r="267" spans="1:179" outlineLevel="1">
      <c r="A267" s="1" t="s">
        <v>76</v>
      </c>
      <c r="B267" s="1" t="s">
        <v>438</v>
      </c>
      <c r="C267" s="4" t="s">
        <v>439</v>
      </c>
      <c r="D267" s="43"/>
      <c r="E267" s="34"/>
      <c r="F267" s="43"/>
      <c r="G267" s="34"/>
      <c r="H267" s="46"/>
      <c r="I267" s="36"/>
      <c r="J267" s="14"/>
      <c r="M267" s="17"/>
      <c r="N267" s="17"/>
      <c r="U267" s="16"/>
      <c r="Y267" s="118"/>
      <c r="AB267" s="185"/>
      <c r="AC267" s="187"/>
      <c r="AD267" s="187"/>
      <c r="AE267" s="118">
        <v>1000</v>
      </c>
      <c r="AF267" s="182">
        <f>AE267-AA267</f>
        <v>1000</v>
      </c>
      <c r="AH267" s="15">
        <v>1000</v>
      </c>
      <c r="AI267" s="17">
        <f t="shared" ref="AI267" si="1282">AH267/AE267</f>
        <v>1</v>
      </c>
      <c r="AK267" s="118">
        <v>1000</v>
      </c>
      <c r="AR267" s="15"/>
      <c r="AS267" s="15">
        <f t="shared" si="1235"/>
        <v>1000</v>
      </c>
      <c r="AV267" s="15">
        <f t="shared" si="1236"/>
        <v>1000</v>
      </c>
      <c r="AX267" s="15"/>
      <c r="AY267" s="15">
        <f t="shared" si="1237"/>
        <v>1000</v>
      </c>
      <c r="BB267" s="15">
        <f t="shared" si="1238"/>
        <v>1000</v>
      </c>
      <c r="BD267" s="15"/>
      <c r="BE267" s="15">
        <f t="shared" si="1239"/>
        <v>1000</v>
      </c>
      <c r="BG267" s="15"/>
      <c r="BH267" s="15">
        <f t="shared" si="1240"/>
        <v>1000</v>
      </c>
      <c r="BJ267" s="15">
        <v>1000</v>
      </c>
      <c r="BK267" s="235">
        <f t="shared" ref="BK267:BK268" si="1283">BJ267/BH267</f>
        <v>1</v>
      </c>
      <c r="BM267" s="15">
        <v>1000</v>
      </c>
      <c r="BN267" s="235">
        <f t="shared" ref="BN267:BN288" si="1284">BM267/BJ267</f>
        <v>1</v>
      </c>
      <c r="BO267" s="235">
        <f t="shared" ref="BO267:BO288" si="1285">BM267/BH267</f>
        <v>1</v>
      </c>
      <c r="BQ267" s="15"/>
      <c r="BR267" s="15">
        <f t="shared" si="1244"/>
        <v>1000</v>
      </c>
      <c r="BT267" s="15"/>
      <c r="BU267" s="15">
        <f t="shared" si="1245"/>
        <v>1000</v>
      </c>
      <c r="BW267" s="15"/>
      <c r="BX267" s="15">
        <f t="shared" si="1246"/>
        <v>1000</v>
      </c>
      <c r="BZ267" s="15"/>
      <c r="CA267" s="15">
        <f t="shared" si="1247"/>
        <v>1000</v>
      </c>
      <c r="CC267" s="15"/>
      <c r="CD267" s="15">
        <f t="shared" si="1248"/>
        <v>1000</v>
      </c>
      <c r="CF267" s="15"/>
      <c r="CG267" s="15">
        <f t="shared" si="1249"/>
        <v>1000</v>
      </c>
      <c r="CI267" s="15"/>
      <c r="CJ267" s="15">
        <f t="shared" si="1250"/>
        <v>1000</v>
      </c>
      <c r="CM267" s="15">
        <f t="shared" si="1251"/>
        <v>1000</v>
      </c>
      <c r="CP267" s="15">
        <f t="shared" si="1252"/>
        <v>1000</v>
      </c>
      <c r="CS267" s="15">
        <f t="shared" si="1253"/>
        <v>1000</v>
      </c>
      <c r="CU267" s="227">
        <v>-1000</v>
      </c>
      <c r="CV267" s="15">
        <f t="shared" si="1254"/>
        <v>0</v>
      </c>
      <c r="CX267" s="227"/>
      <c r="CY267" s="15">
        <f t="shared" si="1255"/>
        <v>0</v>
      </c>
      <c r="DA267" s="15">
        <v>0</v>
      </c>
      <c r="DC267" s="15">
        <f>1500+12*550</f>
        <v>8100</v>
      </c>
      <c r="DE267" s="15"/>
      <c r="DF267" s="15">
        <f t="shared" si="1256"/>
        <v>8100</v>
      </c>
      <c r="DH267" s="15"/>
      <c r="DI267" s="15">
        <f t="shared" si="1257"/>
        <v>8100</v>
      </c>
      <c r="DK267" s="15"/>
      <c r="DL267" s="15">
        <f t="shared" si="1258"/>
        <v>8100</v>
      </c>
      <c r="DN267" s="15"/>
      <c r="DO267" s="15">
        <f t="shared" si="1259"/>
        <v>8100</v>
      </c>
      <c r="DQ267" s="15"/>
      <c r="DR267" s="15">
        <f t="shared" si="1260"/>
        <v>8100</v>
      </c>
      <c r="DT267" s="15"/>
      <c r="DU267" s="15">
        <f t="shared" si="1261"/>
        <v>8100</v>
      </c>
      <c r="DW267" s="15"/>
      <c r="DX267" s="15">
        <f t="shared" si="1262"/>
        <v>8100</v>
      </c>
      <c r="DZ267" s="15"/>
      <c r="EA267" s="15">
        <f t="shared" si="1263"/>
        <v>8100</v>
      </c>
      <c r="EC267" s="227">
        <v>-6600</v>
      </c>
      <c r="ED267" s="15">
        <f>EA267+EC267</f>
        <v>1500</v>
      </c>
      <c r="EF267" s="15"/>
      <c r="EG267" s="15">
        <f>ED267+EF267</f>
        <v>1500</v>
      </c>
      <c r="EI267" s="15">
        <v>1490</v>
      </c>
      <c r="EK267" s="15">
        <v>5200</v>
      </c>
      <c r="EM267" s="15"/>
      <c r="EN267" s="15">
        <f t="shared" si="1266"/>
        <v>5200</v>
      </c>
      <c r="EP267" s="15"/>
      <c r="EQ267" s="15">
        <f t="shared" si="1267"/>
        <v>5200</v>
      </c>
      <c r="ES267" s="15"/>
      <c r="ET267" s="15">
        <f t="shared" si="1268"/>
        <v>5200</v>
      </c>
      <c r="EW267" s="15">
        <f t="shared" si="1269"/>
        <v>5200</v>
      </c>
      <c r="EZ267" s="15">
        <f t="shared" si="1270"/>
        <v>5200</v>
      </c>
      <c r="FC267" s="15">
        <f t="shared" si="1271"/>
        <v>5200</v>
      </c>
      <c r="FF267" s="15">
        <f t="shared" si="1272"/>
        <v>5200</v>
      </c>
      <c r="FI267" s="15">
        <f t="shared" si="1273"/>
        <v>5200</v>
      </c>
      <c r="FL267" s="15">
        <f t="shared" si="1274"/>
        <v>5200</v>
      </c>
      <c r="FO267" s="15">
        <f t="shared" si="1275"/>
        <v>5200</v>
      </c>
      <c r="FR267" s="15">
        <v>5200</v>
      </c>
      <c r="FT267" s="15">
        <v>5150</v>
      </c>
      <c r="FV267" s="15">
        <v>5500</v>
      </c>
      <c r="FW267" s="235">
        <f t="shared" si="1229"/>
        <v>1.0679611650485437</v>
      </c>
    </row>
    <row r="268" spans="1:179" outlineLevel="1">
      <c r="A268" s="1" t="s">
        <v>76</v>
      </c>
      <c r="B268" s="1" t="s">
        <v>225</v>
      </c>
      <c r="C268" s="4" t="s">
        <v>226</v>
      </c>
      <c r="D268" s="43">
        <v>1000</v>
      </c>
      <c r="E268" s="34">
        <v>0</v>
      </c>
      <c r="F268" s="43">
        <v>1000</v>
      </c>
      <c r="G268" s="34">
        <v>0</v>
      </c>
      <c r="H268" s="46">
        <v>0</v>
      </c>
      <c r="I268" s="36">
        <v>0</v>
      </c>
      <c r="J268" s="14"/>
      <c r="L268" s="118">
        <v>500</v>
      </c>
      <c r="M268" s="17">
        <f t="shared" si="1230"/>
        <v>-0.5</v>
      </c>
      <c r="N268" s="17" t="e">
        <f t="shared" si="1227"/>
        <v>#DIV/0!</v>
      </c>
      <c r="Q268" s="118">
        <v>500</v>
      </c>
      <c r="R268" s="15">
        <v>0</v>
      </c>
      <c r="S268" s="118">
        <v>500</v>
      </c>
      <c r="T268" s="15">
        <f t="shared" si="1231"/>
        <v>0</v>
      </c>
      <c r="U268" s="16">
        <f t="shared" si="1232"/>
        <v>0</v>
      </c>
      <c r="Y268" s="118">
        <v>500</v>
      </c>
      <c r="AA268" s="118">
        <v>0</v>
      </c>
      <c r="AB268" s="185">
        <f t="shared" si="1233"/>
        <v>-500</v>
      </c>
      <c r="AC268" s="187">
        <f t="shared" si="1234"/>
        <v>-500</v>
      </c>
      <c r="AD268" s="187"/>
      <c r="AE268" s="118">
        <v>0</v>
      </c>
      <c r="AF268" s="182"/>
      <c r="AH268" s="15">
        <v>0</v>
      </c>
      <c r="AK268" s="118">
        <v>500</v>
      </c>
      <c r="AR268" s="15"/>
      <c r="AS268" s="15">
        <f t="shared" si="1235"/>
        <v>500</v>
      </c>
      <c r="AV268" s="15">
        <f t="shared" si="1236"/>
        <v>500</v>
      </c>
      <c r="AX268" s="15"/>
      <c r="AY268" s="15">
        <f t="shared" si="1237"/>
        <v>500</v>
      </c>
      <c r="BB268" s="15">
        <f t="shared" si="1238"/>
        <v>500</v>
      </c>
      <c r="BD268" s="15"/>
      <c r="BE268" s="15">
        <f t="shared" si="1239"/>
        <v>500</v>
      </c>
      <c r="BG268" s="15"/>
      <c r="BH268" s="15">
        <f t="shared" si="1240"/>
        <v>500</v>
      </c>
      <c r="BJ268" s="15">
        <v>0</v>
      </c>
      <c r="BK268" s="235">
        <f t="shared" si="1283"/>
        <v>0</v>
      </c>
      <c r="BM268" s="15">
        <v>500</v>
      </c>
      <c r="BN268" s="235" t="e">
        <f t="shared" si="1284"/>
        <v>#DIV/0!</v>
      </c>
      <c r="BO268" s="235">
        <f t="shared" si="1285"/>
        <v>1</v>
      </c>
      <c r="BQ268" s="15"/>
      <c r="BR268" s="15">
        <f t="shared" ref="BR268:BR281" si="1286">BM268+BQ268</f>
        <v>500</v>
      </c>
      <c r="BT268" s="15"/>
      <c r="BU268" s="15">
        <f t="shared" si="1245"/>
        <v>500</v>
      </c>
      <c r="BW268" s="15"/>
      <c r="BX268" s="15">
        <f t="shared" si="1246"/>
        <v>500</v>
      </c>
      <c r="BZ268" s="15"/>
      <c r="CA268" s="15">
        <f t="shared" si="1247"/>
        <v>500</v>
      </c>
      <c r="CC268" s="15"/>
      <c r="CD268" s="15">
        <f t="shared" si="1248"/>
        <v>500</v>
      </c>
      <c r="CF268" s="15"/>
      <c r="CG268" s="15">
        <f t="shared" si="1249"/>
        <v>500</v>
      </c>
      <c r="CI268" s="15"/>
      <c r="CJ268" s="15">
        <f t="shared" si="1250"/>
        <v>500</v>
      </c>
      <c r="CM268" s="15">
        <f t="shared" si="1251"/>
        <v>500</v>
      </c>
      <c r="CO268" s="15">
        <v>-500</v>
      </c>
      <c r="CP268" s="15">
        <f t="shared" si="1252"/>
        <v>0</v>
      </c>
      <c r="CS268" s="15">
        <f t="shared" si="1253"/>
        <v>0</v>
      </c>
      <c r="CV268" s="15">
        <f t="shared" si="1254"/>
        <v>0</v>
      </c>
      <c r="CY268" s="15">
        <f t="shared" si="1255"/>
        <v>0</v>
      </c>
      <c r="DA268" s="15">
        <v>0</v>
      </c>
      <c r="DC268" s="15">
        <v>300</v>
      </c>
      <c r="DE268" s="15"/>
      <c r="DF268" s="15">
        <f t="shared" si="1256"/>
        <v>300</v>
      </c>
      <c r="DH268" s="15"/>
      <c r="DI268" s="15">
        <f t="shared" si="1257"/>
        <v>300</v>
      </c>
      <c r="DK268" s="15"/>
      <c r="DL268" s="15">
        <f t="shared" si="1258"/>
        <v>300</v>
      </c>
      <c r="DN268" s="15"/>
      <c r="DO268" s="15">
        <f t="shared" si="1259"/>
        <v>300</v>
      </c>
      <c r="DQ268" s="15"/>
      <c r="DR268" s="15">
        <f t="shared" si="1260"/>
        <v>300</v>
      </c>
      <c r="DT268" s="15"/>
      <c r="DU268" s="15">
        <f t="shared" si="1261"/>
        <v>300</v>
      </c>
      <c r="DW268" s="15"/>
      <c r="DX268" s="15">
        <f t="shared" si="1262"/>
        <v>300</v>
      </c>
      <c r="DZ268" s="15"/>
      <c r="EA268" s="15">
        <f t="shared" si="1263"/>
        <v>300</v>
      </c>
      <c r="EC268" s="227">
        <v>-300</v>
      </c>
      <c r="ED268" s="15">
        <f t="shared" si="1264"/>
        <v>0</v>
      </c>
      <c r="EF268" s="15"/>
      <c r="EG268" s="15">
        <f t="shared" ref="EG268:EG291" si="1287">ED268+EF268</f>
        <v>0</v>
      </c>
      <c r="EI268" s="15">
        <v>0</v>
      </c>
      <c r="EK268" s="15">
        <v>500</v>
      </c>
      <c r="EM268" s="15"/>
      <c r="EN268" s="15">
        <f t="shared" si="1266"/>
        <v>500</v>
      </c>
      <c r="EP268" s="15"/>
      <c r="EQ268" s="15">
        <f t="shared" si="1267"/>
        <v>500</v>
      </c>
      <c r="ES268" s="15"/>
      <c r="ET268" s="15">
        <f t="shared" si="1268"/>
        <v>500</v>
      </c>
      <c r="EW268" s="15">
        <f t="shared" si="1269"/>
        <v>500</v>
      </c>
      <c r="EZ268" s="15">
        <f t="shared" si="1270"/>
        <v>500</v>
      </c>
      <c r="FC268" s="15">
        <f t="shared" si="1271"/>
        <v>500</v>
      </c>
      <c r="FF268" s="15">
        <f t="shared" si="1272"/>
        <v>500</v>
      </c>
      <c r="FI268" s="15">
        <f t="shared" si="1273"/>
        <v>500</v>
      </c>
      <c r="FL268" s="15">
        <f t="shared" si="1274"/>
        <v>500</v>
      </c>
      <c r="FO268" s="15">
        <f t="shared" si="1275"/>
        <v>500</v>
      </c>
      <c r="FR268" s="15">
        <v>500</v>
      </c>
      <c r="FT268" s="15">
        <v>0</v>
      </c>
      <c r="FV268" s="15">
        <v>500</v>
      </c>
      <c r="FW268" s="235" t="e">
        <f t="shared" si="1229"/>
        <v>#DIV/0!</v>
      </c>
    </row>
    <row r="269" spans="1:179" outlineLevel="1">
      <c r="A269" s="1" t="s">
        <v>76</v>
      </c>
      <c r="B269" s="1" t="s">
        <v>144</v>
      </c>
      <c r="C269" s="4" t="s">
        <v>145</v>
      </c>
      <c r="D269" s="43">
        <v>0</v>
      </c>
      <c r="E269" s="34">
        <v>0</v>
      </c>
      <c r="F269" s="43">
        <v>444</v>
      </c>
      <c r="G269" s="34">
        <v>100</v>
      </c>
      <c r="H269" s="46">
        <v>444</v>
      </c>
      <c r="I269" s="36">
        <v>444</v>
      </c>
      <c r="J269" s="14"/>
      <c r="L269" s="118">
        <v>0</v>
      </c>
      <c r="M269" s="17">
        <f t="shared" si="1230"/>
        <v>-1</v>
      </c>
      <c r="N269" s="17">
        <f t="shared" si="1227"/>
        <v>-1</v>
      </c>
      <c r="Q269" s="118">
        <v>0</v>
      </c>
      <c r="Y269" s="118"/>
      <c r="AB269" s="185">
        <f t="shared" si="1233"/>
        <v>0</v>
      </c>
      <c r="AC269" s="187">
        <f t="shared" si="1234"/>
        <v>0</v>
      </c>
      <c r="AD269" s="187"/>
      <c r="AE269" s="118">
        <v>300</v>
      </c>
      <c r="AF269" s="182">
        <f>AE269-AA269</f>
        <v>300</v>
      </c>
      <c r="AH269" s="15">
        <v>297</v>
      </c>
      <c r="AI269" s="17">
        <f t="shared" ref="AI269:AI286" si="1288">AH269/AE269</f>
        <v>0.99</v>
      </c>
      <c r="AK269" s="118">
        <v>0</v>
      </c>
      <c r="AR269" s="15"/>
      <c r="AS269" s="15">
        <f t="shared" si="1235"/>
        <v>0</v>
      </c>
      <c r="AV269" s="15">
        <f t="shared" si="1236"/>
        <v>0</v>
      </c>
      <c r="AX269" s="15"/>
      <c r="AY269" s="15">
        <f t="shared" si="1237"/>
        <v>0</v>
      </c>
      <c r="BB269" s="15">
        <f t="shared" si="1238"/>
        <v>0</v>
      </c>
      <c r="BD269" s="15"/>
      <c r="BE269" s="15">
        <f t="shared" si="1239"/>
        <v>0</v>
      </c>
      <c r="BG269" s="15"/>
      <c r="BH269" s="15">
        <f t="shared" si="1240"/>
        <v>0</v>
      </c>
      <c r="BJ269" s="15">
        <v>0</v>
      </c>
      <c r="BM269" s="15">
        <v>0</v>
      </c>
      <c r="BN269" s="235" t="e">
        <f t="shared" si="1284"/>
        <v>#DIV/0!</v>
      </c>
      <c r="BO269" s="235" t="e">
        <f t="shared" si="1285"/>
        <v>#DIV/0!</v>
      </c>
      <c r="BQ269" s="15"/>
      <c r="BR269" s="15">
        <f t="shared" si="1286"/>
        <v>0</v>
      </c>
      <c r="BT269" s="15"/>
      <c r="BU269" s="15">
        <f t="shared" si="1245"/>
        <v>0</v>
      </c>
      <c r="BW269" s="15"/>
      <c r="BX269" s="15">
        <f t="shared" si="1246"/>
        <v>0</v>
      </c>
      <c r="BZ269" s="15"/>
      <c r="CA269" s="15">
        <f t="shared" si="1247"/>
        <v>0</v>
      </c>
      <c r="CC269" s="15"/>
      <c r="CD269" s="15">
        <f t="shared" si="1248"/>
        <v>0</v>
      </c>
      <c r="CF269" s="15"/>
      <c r="CG269" s="15">
        <f t="shared" si="1249"/>
        <v>0</v>
      </c>
      <c r="CI269" s="15"/>
      <c r="CJ269" s="15">
        <f t="shared" si="1250"/>
        <v>0</v>
      </c>
      <c r="CM269" s="15">
        <f t="shared" si="1251"/>
        <v>0</v>
      </c>
      <c r="CP269" s="15">
        <f t="shared" si="1252"/>
        <v>0</v>
      </c>
      <c r="CS269" s="15">
        <f t="shared" si="1253"/>
        <v>0</v>
      </c>
      <c r="CV269" s="15">
        <f t="shared" si="1254"/>
        <v>0</v>
      </c>
      <c r="CY269" s="15">
        <f t="shared" si="1255"/>
        <v>0</v>
      </c>
      <c r="DA269" s="15">
        <v>0</v>
      </c>
      <c r="DE269" s="15"/>
      <c r="DF269" s="15">
        <f t="shared" si="1256"/>
        <v>0</v>
      </c>
      <c r="DH269" s="15"/>
      <c r="DI269" s="15">
        <f t="shared" si="1257"/>
        <v>0</v>
      </c>
      <c r="DK269" s="15"/>
      <c r="DL269" s="15">
        <f t="shared" si="1258"/>
        <v>0</v>
      </c>
      <c r="DN269" s="15"/>
      <c r="DO269" s="15">
        <f t="shared" si="1259"/>
        <v>0</v>
      </c>
      <c r="DQ269" s="15"/>
      <c r="DR269" s="15">
        <f t="shared" si="1260"/>
        <v>0</v>
      </c>
      <c r="DT269" s="15"/>
      <c r="DU269" s="15">
        <f t="shared" si="1261"/>
        <v>0</v>
      </c>
      <c r="DW269" s="15"/>
      <c r="DX269" s="15">
        <f t="shared" si="1262"/>
        <v>0</v>
      </c>
      <c r="DZ269" s="15"/>
      <c r="EA269" s="15">
        <f t="shared" si="1263"/>
        <v>0</v>
      </c>
      <c r="EC269" s="15"/>
      <c r="ED269" s="15">
        <f t="shared" si="1264"/>
        <v>0</v>
      </c>
      <c r="EF269" s="15"/>
      <c r="EG269" s="15">
        <f t="shared" si="1287"/>
        <v>0</v>
      </c>
      <c r="EI269" s="15">
        <v>0</v>
      </c>
      <c r="EK269" s="15"/>
      <c r="EM269" s="15"/>
      <c r="EN269" s="15">
        <f t="shared" si="1266"/>
        <v>0</v>
      </c>
      <c r="EP269" s="15"/>
      <c r="EQ269" s="15">
        <f t="shared" si="1267"/>
        <v>0</v>
      </c>
      <c r="ES269" s="15"/>
      <c r="ET269" s="15">
        <f t="shared" si="1268"/>
        <v>0</v>
      </c>
      <c r="EW269" s="15">
        <f t="shared" si="1269"/>
        <v>0</v>
      </c>
      <c r="EZ269" s="15">
        <f t="shared" si="1270"/>
        <v>0</v>
      </c>
      <c r="FC269" s="15">
        <f t="shared" si="1271"/>
        <v>0</v>
      </c>
      <c r="FF269" s="15">
        <f t="shared" si="1272"/>
        <v>0</v>
      </c>
      <c r="FI269" s="15">
        <f t="shared" si="1273"/>
        <v>0</v>
      </c>
      <c r="FL269" s="15">
        <f t="shared" si="1274"/>
        <v>0</v>
      </c>
      <c r="FO269" s="15">
        <f t="shared" si="1275"/>
        <v>0</v>
      </c>
      <c r="FR269" s="15">
        <v>0</v>
      </c>
      <c r="FT269" s="15">
        <v>0</v>
      </c>
      <c r="FV269" s="15">
        <v>0</v>
      </c>
      <c r="FW269" s="235" t="e">
        <f t="shared" si="1229"/>
        <v>#DIV/0!</v>
      </c>
    </row>
    <row r="270" spans="1:179" outlineLevel="1">
      <c r="A270" s="1" t="s">
        <v>76</v>
      </c>
      <c r="B270" s="1" t="s">
        <v>113</v>
      </c>
      <c r="C270" s="4" t="s">
        <v>114</v>
      </c>
      <c r="D270" s="43">
        <v>46000</v>
      </c>
      <c r="E270" s="34">
        <v>21.24</v>
      </c>
      <c r="F270" s="43">
        <v>46000</v>
      </c>
      <c r="G270" s="34">
        <v>21.24</v>
      </c>
      <c r="H270" s="46">
        <v>9769</v>
      </c>
      <c r="I270" s="36">
        <v>9769</v>
      </c>
      <c r="J270" s="14"/>
      <c r="L270" s="118">
        <v>15000</v>
      </c>
      <c r="M270" s="17">
        <f t="shared" si="1230"/>
        <v>-0.67391304347826086</v>
      </c>
      <c r="N270" s="17">
        <f t="shared" si="1227"/>
        <v>0.53546934179547545</v>
      </c>
      <c r="Q270" s="118">
        <v>15000</v>
      </c>
      <c r="R270" s="15">
        <v>0</v>
      </c>
      <c r="S270" s="118">
        <v>15000</v>
      </c>
      <c r="T270" s="15">
        <f>S270-Q270</f>
        <v>0</v>
      </c>
      <c r="U270" s="16">
        <f>S270/Q270-1</f>
        <v>0</v>
      </c>
      <c r="Y270" s="118">
        <v>15000</v>
      </c>
      <c r="AA270" s="118">
        <v>15000</v>
      </c>
      <c r="AB270" s="185">
        <f t="shared" si="1233"/>
        <v>0</v>
      </c>
      <c r="AC270" s="187">
        <f t="shared" si="1234"/>
        <v>0</v>
      </c>
      <c r="AD270" s="187"/>
      <c r="AE270" s="118">
        <v>15000</v>
      </c>
      <c r="AF270" s="182"/>
      <c r="AH270" s="15">
        <v>14459</v>
      </c>
      <c r="AI270" s="17">
        <f t="shared" si="1288"/>
        <v>0.96393333333333331</v>
      </c>
      <c r="AK270" s="118">
        <v>15000</v>
      </c>
      <c r="AR270" s="15"/>
      <c r="AS270" s="15">
        <f t="shared" si="1235"/>
        <v>15000</v>
      </c>
      <c r="AV270" s="15">
        <f t="shared" si="1236"/>
        <v>15000</v>
      </c>
      <c r="AX270" s="15"/>
      <c r="AY270" s="15">
        <f t="shared" si="1237"/>
        <v>15000</v>
      </c>
      <c r="BB270" s="15">
        <f t="shared" si="1238"/>
        <v>15000</v>
      </c>
      <c r="BD270" s="15">
        <v>2000</v>
      </c>
      <c r="BE270" s="15">
        <f t="shared" si="1239"/>
        <v>17000</v>
      </c>
      <c r="BG270" s="15"/>
      <c r="BH270" s="15">
        <f t="shared" si="1240"/>
        <v>17000</v>
      </c>
      <c r="BJ270" s="15">
        <v>14157</v>
      </c>
      <c r="BK270" s="235">
        <f t="shared" ref="BK270:BK288" si="1289">BJ270/BH270</f>
        <v>0.83276470588235296</v>
      </c>
      <c r="BM270" s="15">
        <v>15000</v>
      </c>
      <c r="BN270" s="235">
        <f t="shared" si="1284"/>
        <v>1.0595465140919686</v>
      </c>
      <c r="BO270" s="235">
        <f t="shared" si="1285"/>
        <v>0.88235294117647056</v>
      </c>
      <c r="BQ270" s="15"/>
      <c r="BR270" s="15">
        <f t="shared" si="1286"/>
        <v>15000</v>
      </c>
      <c r="BT270" s="15"/>
      <c r="BU270" s="15">
        <f t="shared" si="1245"/>
        <v>15000</v>
      </c>
      <c r="BW270" s="15"/>
      <c r="BX270" s="15">
        <f t="shared" si="1246"/>
        <v>15000</v>
      </c>
      <c r="BZ270" s="15"/>
      <c r="CA270" s="15">
        <f t="shared" si="1247"/>
        <v>15000</v>
      </c>
      <c r="CC270" s="15"/>
      <c r="CD270" s="15">
        <f t="shared" si="1248"/>
        <v>15000</v>
      </c>
      <c r="CF270" s="15"/>
      <c r="CG270" s="15">
        <f t="shared" si="1249"/>
        <v>15000</v>
      </c>
      <c r="CI270" s="15"/>
      <c r="CJ270" s="15">
        <f t="shared" si="1250"/>
        <v>15000</v>
      </c>
      <c r="CM270" s="15">
        <f t="shared" si="1251"/>
        <v>15000</v>
      </c>
      <c r="CO270" s="15">
        <v>-10000</v>
      </c>
      <c r="CP270" s="15">
        <f t="shared" si="1252"/>
        <v>5000</v>
      </c>
      <c r="CS270" s="15">
        <f t="shared" si="1253"/>
        <v>5000</v>
      </c>
      <c r="CU270" s="227">
        <v>-5000</v>
      </c>
      <c r="CV270" s="15">
        <f t="shared" si="1254"/>
        <v>0</v>
      </c>
      <c r="CX270" s="227"/>
      <c r="CY270" s="15">
        <f t="shared" si="1255"/>
        <v>0</v>
      </c>
      <c r="DA270" s="15">
        <v>0</v>
      </c>
      <c r="DC270" s="15">
        <v>40000</v>
      </c>
      <c r="DE270" s="15"/>
      <c r="DF270" s="15">
        <f t="shared" si="1256"/>
        <v>40000</v>
      </c>
      <c r="DH270" s="15"/>
      <c r="DI270" s="15">
        <f t="shared" si="1257"/>
        <v>40000</v>
      </c>
      <c r="DK270" s="15"/>
      <c r="DL270" s="15">
        <f t="shared" si="1258"/>
        <v>40000</v>
      </c>
      <c r="DN270" s="227">
        <v>8000</v>
      </c>
      <c r="DO270" s="15">
        <f t="shared" si="1259"/>
        <v>48000</v>
      </c>
      <c r="DQ270" s="227">
        <v>5000</v>
      </c>
      <c r="DR270" s="15">
        <f t="shared" si="1260"/>
        <v>53000</v>
      </c>
      <c r="DT270" s="15"/>
      <c r="DU270" s="15">
        <f t="shared" si="1261"/>
        <v>53000</v>
      </c>
      <c r="DW270" s="15"/>
      <c r="DX270" s="15">
        <f t="shared" si="1262"/>
        <v>53000</v>
      </c>
      <c r="DZ270" s="15"/>
      <c r="EA270" s="15">
        <f t="shared" si="1263"/>
        <v>53000</v>
      </c>
      <c r="EC270" s="15"/>
      <c r="ED270" s="15">
        <f t="shared" si="1264"/>
        <v>53000</v>
      </c>
      <c r="EF270" s="15"/>
      <c r="EG270" s="15">
        <f t="shared" si="1287"/>
        <v>53000</v>
      </c>
      <c r="EI270" s="15">
        <v>47602</v>
      </c>
      <c r="EK270" s="15">
        <v>0</v>
      </c>
      <c r="EM270" s="15"/>
      <c r="EN270" s="15">
        <f t="shared" si="1266"/>
        <v>0</v>
      </c>
      <c r="EP270" s="15"/>
      <c r="EQ270" s="15">
        <f t="shared" si="1267"/>
        <v>0</v>
      </c>
      <c r="ES270" s="15"/>
      <c r="ET270" s="15">
        <f t="shared" si="1268"/>
        <v>0</v>
      </c>
      <c r="EW270" s="15">
        <f t="shared" si="1269"/>
        <v>0</v>
      </c>
      <c r="EZ270" s="15">
        <f t="shared" si="1270"/>
        <v>0</v>
      </c>
      <c r="FC270" s="15">
        <f t="shared" si="1271"/>
        <v>0</v>
      </c>
      <c r="FF270" s="15">
        <f t="shared" si="1272"/>
        <v>0</v>
      </c>
      <c r="FI270" s="15">
        <f t="shared" si="1273"/>
        <v>0</v>
      </c>
      <c r="FL270" s="15">
        <f t="shared" si="1274"/>
        <v>0</v>
      </c>
      <c r="FO270" s="15">
        <f t="shared" si="1275"/>
        <v>0</v>
      </c>
      <c r="FR270" s="15">
        <v>0</v>
      </c>
      <c r="FV270" s="15">
        <v>0</v>
      </c>
      <c r="FW270" s="235" t="e">
        <f t="shared" si="1229"/>
        <v>#DIV/0!</v>
      </c>
    </row>
    <row r="271" spans="1:179" outlineLevel="1">
      <c r="A271" s="1" t="s">
        <v>76</v>
      </c>
      <c r="B271" s="1" t="s">
        <v>146</v>
      </c>
      <c r="C271" s="4" t="s">
        <v>147</v>
      </c>
      <c r="D271" s="43">
        <v>20000</v>
      </c>
      <c r="E271" s="34">
        <v>241.04</v>
      </c>
      <c r="F271" s="43">
        <v>52093.34</v>
      </c>
      <c r="G271" s="34">
        <v>92.54</v>
      </c>
      <c r="H271" s="46">
        <v>48207.63</v>
      </c>
      <c r="I271" s="36">
        <v>49000</v>
      </c>
      <c r="J271" s="14"/>
      <c r="L271" s="118">
        <v>35000</v>
      </c>
      <c r="M271" s="17">
        <f t="shared" si="1230"/>
        <v>-0.32812908521511575</v>
      </c>
      <c r="N271" s="17">
        <f t="shared" si="1227"/>
        <v>-0.2857142857142857</v>
      </c>
      <c r="Q271" s="118">
        <v>35000</v>
      </c>
      <c r="R271" s="15">
        <v>13359</v>
      </c>
      <c r="S271" s="118">
        <v>30000</v>
      </c>
      <c r="T271" s="15">
        <f>S271-Q271</f>
        <v>-5000</v>
      </c>
      <c r="U271" s="16">
        <f>S271/Q271-1</f>
        <v>-0.1428571428571429</v>
      </c>
      <c r="Y271" s="118">
        <v>30000</v>
      </c>
      <c r="AA271" s="118">
        <v>25000</v>
      </c>
      <c r="AB271" s="185">
        <f t="shared" si="1233"/>
        <v>-5000</v>
      </c>
      <c r="AC271" s="187">
        <f t="shared" si="1234"/>
        <v>-5000</v>
      </c>
      <c r="AD271" s="187"/>
      <c r="AE271" s="118">
        <v>25000</v>
      </c>
      <c r="AF271" s="182"/>
      <c r="AH271" s="15">
        <v>20543.259999999998</v>
      </c>
      <c r="AI271" s="17">
        <f t="shared" si="1288"/>
        <v>0.82173039999999997</v>
      </c>
      <c r="AK271" s="118">
        <v>22000</v>
      </c>
      <c r="AR271" s="15"/>
      <c r="AS271" s="15">
        <f t="shared" si="1235"/>
        <v>22000</v>
      </c>
      <c r="AV271" s="15">
        <f t="shared" si="1236"/>
        <v>22000</v>
      </c>
      <c r="AX271" s="15"/>
      <c r="AY271" s="15">
        <f t="shared" si="1237"/>
        <v>22000</v>
      </c>
      <c r="BB271" s="15">
        <f t="shared" si="1238"/>
        <v>22000</v>
      </c>
      <c r="BD271" s="15">
        <v>-2000</v>
      </c>
      <c r="BE271" s="15">
        <f t="shared" si="1239"/>
        <v>20000</v>
      </c>
      <c r="BG271" s="15"/>
      <c r="BH271" s="15">
        <f t="shared" si="1240"/>
        <v>20000</v>
      </c>
      <c r="BJ271" s="15">
        <v>17838</v>
      </c>
      <c r="BK271" s="235">
        <f t="shared" si="1289"/>
        <v>0.89190000000000003</v>
      </c>
      <c r="BM271" s="15">
        <v>25000</v>
      </c>
      <c r="BN271" s="235">
        <f t="shared" si="1284"/>
        <v>1.4015024105841463</v>
      </c>
      <c r="BO271" s="235">
        <f t="shared" si="1285"/>
        <v>1.25</v>
      </c>
      <c r="BQ271" s="15"/>
      <c r="BR271" s="15">
        <f t="shared" si="1286"/>
        <v>25000</v>
      </c>
      <c r="BT271" s="15"/>
      <c r="BU271" s="15">
        <f t="shared" si="1245"/>
        <v>25000</v>
      </c>
      <c r="BW271" s="15">
        <v>20000</v>
      </c>
      <c r="BX271" s="15">
        <f t="shared" si="1246"/>
        <v>45000</v>
      </c>
      <c r="BZ271" s="15"/>
      <c r="CA271" s="15">
        <f t="shared" si="1247"/>
        <v>45000</v>
      </c>
      <c r="CC271" s="15"/>
      <c r="CD271" s="15">
        <f t="shared" si="1248"/>
        <v>45000</v>
      </c>
      <c r="CF271" s="15"/>
      <c r="CG271" s="15">
        <f t="shared" si="1249"/>
        <v>45000</v>
      </c>
      <c r="CI271" s="15"/>
      <c r="CJ271" s="15">
        <f t="shared" si="1250"/>
        <v>45000</v>
      </c>
      <c r="CM271" s="15">
        <f t="shared" si="1251"/>
        <v>45000</v>
      </c>
      <c r="CP271" s="15">
        <f t="shared" si="1252"/>
        <v>45000</v>
      </c>
      <c r="CS271" s="15">
        <f t="shared" si="1253"/>
        <v>45000</v>
      </c>
      <c r="CU271" s="227">
        <v>1000</v>
      </c>
      <c r="CV271" s="15">
        <f t="shared" si="1254"/>
        <v>46000</v>
      </c>
      <c r="CX271" s="227"/>
      <c r="CY271" s="15">
        <f t="shared" si="1255"/>
        <v>46000</v>
      </c>
      <c r="DA271" s="15">
        <v>45281.37</v>
      </c>
      <c r="DC271" s="15">
        <v>30000</v>
      </c>
      <c r="DE271" s="15"/>
      <c r="DF271" s="15">
        <f t="shared" si="1256"/>
        <v>30000</v>
      </c>
      <c r="DH271" s="15"/>
      <c r="DI271" s="15">
        <f t="shared" si="1257"/>
        <v>30000</v>
      </c>
      <c r="DK271" s="15"/>
      <c r="DL271" s="15">
        <f t="shared" si="1258"/>
        <v>30000</v>
      </c>
      <c r="DN271" s="15"/>
      <c r="DO271" s="15">
        <f t="shared" si="1259"/>
        <v>30000</v>
      </c>
      <c r="DQ271" s="15"/>
      <c r="DR271" s="15">
        <f t="shared" si="1260"/>
        <v>30000</v>
      </c>
      <c r="DT271" s="15"/>
      <c r="DU271" s="15">
        <f t="shared" si="1261"/>
        <v>30000</v>
      </c>
      <c r="DW271" s="15"/>
      <c r="DX271" s="15">
        <f t="shared" si="1262"/>
        <v>30000</v>
      </c>
      <c r="DZ271" s="15"/>
      <c r="EA271" s="15">
        <f t="shared" si="1263"/>
        <v>30000</v>
      </c>
      <c r="EC271" s="227">
        <v>5000</v>
      </c>
      <c r="ED271" s="15">
        <f t="shared" si="1264"/>
        <v>35000</v>
      </c>
      <c r="EF271" s="227">
        <v>3500</v>
      </c>
      <c r="EG271" s="15">
        <f t="shared" si="1287"/>
        <v>38500</v>
      </c>
      <c r="EI271" s="15">
        <v>38318.589999999997</v>
      </c>
      <c r="EK271" s="15">
        <v>24000</v>
      </c>
      <c r="EM271" s="15"/>
      <c r="EN271" s="15">
        <f t="shared" si="1266"/>
        <v>24000</v>
      </c>
      <c r="EP271" s="15"/>
      <c r="EQ271" s="15">
        <f t="shared" si="1267"/>
        <v>24000</v>
      </c>
      <c r="ES271" s="15"/>
      <c r="ET271" s="15">
        <f t="shared" si="1268"/>
        <v>24000</v>
      </c>
      <c r="EW271" s="15">
        <f t="shared" si="1269"/>
        <v>24000</v>
      </c>
      <c r="EZ271" s="15">
        <f t="shared" si="1270"/>
        <v>24000</v>
      </c>
      <c r="FB271" s="227">
        <v>10000</v>
      </c>
      <c r="FC271" s="15">
        <f t="shared" si="1271"/>
        <v>34000</v>
      </c>
      <c r="FF271" s="15">
        <f t="shared" si="1272"/>
        <v>34000</v>
      </c>
      <c r="FI271" s="15">
        <f t="shared" si="1273"/>
        <v>34000</v>
      </c>
      <c r="FL271" s="15">
        <f t="shared" si="1274"/>
        <v>34000</v>
      </c>
      <c r="FO271" s="15">
        <f t="shared" si="1275"/>
        <v>34000</v>
      </c>
      <c r="FQ271" s="227">
        <v>6820</v>
      </c>
      <c r="FR271" s="15">
        <v>40820</v>
      </c>
      <c r="FT271" s="15">
        <v>40818.46</v>
      </c>
      <c r="FV271" s="15">
        <v>41000</v>
      </c>
      <c r="FW271" s="235">
        <f t="shared" si="1229"/>
        <v>1.0044474975293041</v>
      </c>
    </row>
    <row r="272" spans="1:179" ht="15.75" customHeight="1" outlineLevel="1">
      <c r="A272" s="1" t="s">
        <v>76</v>
      </c>
      <c r="B272" s="1" t="s">
        <v>632</v>
      </c>
      <c r="C272" s="4" t="s">
        <v>633</v>
      </c>
      <c r="D272" s="43"/>
      <c r="E272" s="34"/>
      <c r="F272" s="43"/>
      <c r="G272" s="34"/>
      <c r="H272" s="46"/>
      <c r="I272" s="36"/>
      <c r="J272" s="14"/>
      <c r="M272" s="17"/>
      <c r="N272" s="17"/>
      <c r="U272" s="16"/>
      <c r="Y272" s="118"/>
      <c r="AB272" s="185"/>
      <c r="AC272" s="187"/>
      <c r="AD272" s="187"/>
      <c r="AF272" s="182"/>
      <c r="AH272" s="15"/>
      <c r="AI272" s="17"/>
      <c r="AR272" s="15"/>
      <c r="AS272" s="15"/>
      <c r="AV272" s="15"/>
      <c r="AX272" s="15"/>
      <c r="AY272" s="15"/>
      <c r="BB272" s="15"/>
      <c r="BD272" s="15"/>
      <c r="BE272" s="15"/>
      <c r="BG272" s="15"/>
      <c r="BH272" s="15"/>
      <c r="BK272" s="235"/>
      <c r="BM272" s="15"/>
      <c r="BN272" s="235"/>
      <c r="BO272" s="235"/>
      <c r="BQ272" s="15"/>
      <c r="BR272" s="15"/>
      <c r="BT272" s="15"/>
      <c r="BU272" s="15"/>
      <c r="BW272" s="15"/>
      <c r="BX272" s="15"/>
      <c r="BZ272" s="15"/>
      <c r="CA272" s="15"/>
      <c r="CC272" s="15"/>
      <c r="CD272" s="15"/>
      <c r="CF272" s="15"/>
      <c r="CG272" s="15"/>
      <c r="CI272" s="15"/>
      <c r="CJ272" s="15"/>
      <c r="CM272" s="15"/>
      <c r="CP272" s="15"/>
      <c r="CS272" s="15"/>
      <c r="CU272" s="227"/>
      <c r="CV272" s="15"/>
      <c r="CX272" s="227"/>
      <c r="CY272" s="15"/>
      <c r="DE272" s="15"/>
      <c r="DF272" s="15"/>
      <c r="DH272" s="15"/>
      <c r="DI272" s="15"/>
      <c r="DK272" s="15"/>
      <c r="DL272" s="15"/>
      <c r="DN272" s="15"/>
      <c r="DO272" s="15"/>
      <c r="DQ272" s="15"/>
      <c r="DR272" s="15"/>
      <c r="DT272" s="15"/>
      <c r="DU272" s="15"/>
      <c r="DW272" s="15"/>
      <c r="DX272" s="15"/>
      <c r="DZ272" s="15"/>
      <c r="EA272" s="15"/>
      <c r="EC272" s="227">
        <v>10</v>
      </c>
      <c r="ED272" s="15">
        <f t="shared" si="1264"/>
        <v>10</v>
      </c>
      <c r="EF272" s="15"/>
      <c r="EG272" s="15">
        <f t="shared" si="1287"/>
        <v>10</v>
      </c>
      <c r="EI272" s="15">
        <v>1.2</v>
      </c>
      <c r="EK272" s="15">
        <v>0</v>
      </c>
      <c r="EM272" s="15"/>
      <c r="EN272" s="15"/>
      <c r="EP272" s="15"/>
      <c r="EQ272" s="15"/>
      <c r="ES272" s="15"/>
      <c r="ET272" s="15"/>
      <c r="EW272" s="15"/>
      <c r="EZ272" s="15"/>
      <c r="FC272" s="15"/>
      <c r="FF272" s="15"/>
      <c r="FI272" s="15"/>
      <c r="FL272" s="15"/>
      <c r="FO272" s="15"/>
      <c r="FR272" s="15"/>
      <c r="FW272" s="235" t="e">
        <f t="shared" si="1229"/>
        <v>#DIV/0!</v>
      </c>
    </row>
    <row r="273" spans="1:179" outlineLevel="1">
      <c r="A273" s="1" t="s">
        <v>76</v>
      </c>
      <c r="B273" s="1" t="s">
        <v>157</v>
      </c>
      <c r="C273" s="4" t="s">
        <v>158</v>
      </c>
      <c r="D273" s="43">
        <v>2500</v>
      </c>
      <c r="E273" s="34">
        <v>132.44</v>
      </c>
      <c r="F273" s="43">
        <v>5500</v>
      </c>
      <c r="G273" s="34">
        <v>60.2</v>
      </c>
      <c r="H273" s="46">
        <v>3311</v>
      </c>
      <c r="I273" s="36">
        <v>3500</v>
      </c>
      <c r="J273" s="14"/>
      <c r="K273" t="s">
        <v>332</v>
      </c>
      <c r="L273" s="118">
        <v>3000</v>
      </c>
      <c r="M273" s="17">
        <f t="shared" si="1230"/>
        <v>-0.45454545454545459</v>
      </c>
      <c r="N273" s="17">
        <f t="shared" si="1227"/>
        <v>-0.1428571428571429</v>
      </c>
      <c r="Q273" s="118">
        <v>3000</v>
      </c>
      <c r="R273" s="15">
        <v>1312</v>
      </c>
      <c r="S273" s="118">
        <v>3000</v>
      </c>
      <c r="T273" s="15">
        <f>S273-Q273</f>
        <v>0</v>
      </c>
      <c r="U273" s="16">
        <f>S273/Q273-1</f>
        <v>0</v>
      </c>
      <c r="Y273" s="118">
        <v>3000</v>
      </c>
      <c r="AA273" s="118">
        <v>3000</v>
      </c>
      <c r="AB273" s="185">
        <f t="shared" si="1233"/>
        <v>0</v>
      </c>
      <c r="AC273" s="187">
        <f t="shared" si="1234"/>
        <v>0</v>
      </c>
      <c r="AD273" s="187"/>
      <c r="AE273" s="118">
        <v>4200</v>
      </c>
      <c r="AF273" s="182">
        <f>AE273-AA273</f>
        <v>1200</v>
      </c>
      <c r="AH273" s="15">
        <v>4132.3999999999996</v>
      </c>
      <c r="AI273" s="17">
        <f t="shared" si="1288"/>
        <v>0.98390476190476184</v>
      </c>
      <c r="AK273" s="118">
        <v>4400</v>
      </c>
      <c r="AR273" s="15"/>
      <c r="AS273" s="15">
        <f t="shared" si="1235"/>
        <v>4400</v>
      </c>
      <c r="AV273" s="15">
        <f t="shared" si="1236"/>
        <v>4400</v>
      </c>
      <c r="AX273" s="15"/>
      <c r="AY273" s="15">
        <f t="shared" si="1237"/>
        <v>4400</v>
      </c>
      <c r="BB273" s="15">
        <f t="shared" si="1238"/>
        <v>4400</v>
      </c>
      <c r="BD273" s="15">
        <v>-2000</v>
      </c>
      <c r="BE273" s="15">
        <f t="shared" si="1239"/>
        <v>2400</v>
      </c>
      <c r="BG273" s="15">
        <v>3500</v>
      </c>
      <c r="BH273" s="15">
        <f t="shared" si="1240"/>
        <v>5900</v>
      </c>
      <c r="BJ273" s="15">
        <v>5416</v>
      </c>
      <c r="BK273" s="235">
        <f t="shared" si="1289"/>
        <v>0.91796610169491522</v>
      </c>
      <c r="BM273" s="15">
        <f>(780+70)*2</f>
        <v>1700</v>
      </c>
      <c r="BN273" s="235">
        <f t="shared" si="1284"/>
        <v>0.31388478581979323</v>
      </c>
      <c r="BO273" s="235">
        <f t="shared" si="1285"/>
        <v>0.28813559322033899</v>
      </c>
      <c r="BQ273" s="15"/>
      <c r="BR273" s="15">
        <f t="shared" si="1286"/>
        <v>1700</v>
      </c>
      <c r="BT273" s="15"/>
      <c r="BU273" s="15">
        <f t="shared" si="1245"/>
        <v>1700</v>
      </c>
      <c r="BW273" s="15"/>
      <c r="BX273" s="15">
        <f t="shared" si="1246"/>
        <v>1700</v>
      </c>
      <c r="BZ273" s="15"/>
      <c r="CA273" s="15">
        <f t="shared" si="1247"/>
        <v>1700</v>
      </c>
      <c r="CC273" s="15"/>
      <c r="CD273" s="15">
        <f t="shared" si="1248"/>
        <v>1700</v>
      </c>
      <c r="CF273" s="15"/>
      <c r="CG273" s="15">
        <f t="shared" si="1249"/>
        <v>1700</v>
      </c>
      <c r="CI273" s="15"/>
      <c r="CJ273" s="15">
        <f t="shared" si="1250"/>
        <v>1700</v>
      </c>
      <c r="CM273" s="15">
        <f t="shared" si="1251"/>
        <v>1700</v>
      </c>
      <c r="CP273" s="15">
        <f t="shared" si="1252"/>
        <v>1700</v>
      </c>
      <c r="CS273" s="15">
        <f t="shared" si="1253"/>
        <v>1700</v>
      </c>
      <c r="CU273" s="227">
        <v>1800</v>
      </c>
      <c r="CV273" s="15">
        <f t="shared" si="1254"/>
        <v>3500</v>
      </c>
      <c r="CX273" s="227"/>
      <c r="CY273" s="15">
        <f t="shared" si="1255"/>
        <v>3500</v>
      </c>
      <c r="DA273" s="15">
        <v>3419</v>
      </c>
      <c r="DC273" s="15">
        <v>10000</v>
      </c>
      <c r="DE273" s="15"/>
      <c r="DF273" s="15">
        <f t="shared" si="1256"/>
        <v>10000</v>
      </c>
      <c r="DH273" s="15"/>
      <c r="DI273" s="15">
        <f t="shared" si="1257"/>
        <v>10000</v>
      </c>
      <c r="DK273" s="15"/>
      <c r="DL273" s="15">
        <f t="shared" si="1258"/>
        <v>10000</v>
      </c>
      <c r="DN273" s="15"/>
      <c r="DO273" s="15">
        <f t="shared" si="1259"/>
        <v>10000</v>
      </c>
      <c r="DQ273" s="15"/>
      <c r="DR273" s="15">
        <f t="shared" si="1260"/>
        <v>10000</v>
      </c>
      <c r="DT273" s="15"/>
      <c r="DU273" s="15">
        <f t="shared" si="1261"/>
        <v>10000</v>
      </c>
      <c r="DW273" s="15"/>
      <c r="DX273" s="15">
        <f t="shared" si="1262"/>
        <v>10000</v>
      </c>
      <c r="DZ273" s="15"/>
      <c r="EA273" s="15">
        <f t="shared" si="1263"/>
        <v>10000</v>
      </c>
      <c r="EC273" s="15"/>
      <c r="ED273" s="15">
        <f t="shared" si="1264"/>
        <v>10000</v>
      </c>
      <c r="EF273" s="227">
        <v>1400</v>
      </c>
      <c r="EG273" s="15">
        <f t="shared" si="1287"/>
        <v>11400</v>
      </c>
      <c r="EI273" s="15">
        <v>11305.68</v>
      </c>
      <c r="EK273" s="15">
        <v>10000</v>
      </c>
      <c r="EM273" s="15"/>
      <c r="EN273" s="15">
        <f t="shared" ref="EN273:EN291" si="1290">EK273+EM273</f>
        <v>10000</v>
      </c>
      <c r="EP273" s="15"/>
      <c r="EQ273" s="15">
        <f t="shared" ref="EQ273:EQ291" si="1291">EN273+EP273</f>
        <v>10000</v>
      </c>
      <c r="ES273" s="15"/>
      <c r="ET273" s="15">
        <f t="shared" ref="ET273:ET291" si="1292">EQ273+ES273</f>
        <v>10000</v>
      </c>
      <c r="EW273" s="15">
        <f t="shared" ref="EW273:EW291" si="1293">ET273+EV273</f>
        <v>10000</v>
      </c>
      <c r="EZ273" s="15">
        <f t="shared" ref="EZ273:EZ291" si="1294">EW273+EY273</f>
        <v>10000</v>
      </c>
      <c r="FC273" s="15">
        <f t="shared" ref="FC273:FC291" si="1295">EZ273+FB273</f>
        <v>10000</v>
      </c>
      <c r="FF273" s="15">
        <f t="shared" ref="FF273:FF291" si="1296">FC273+FE273</f>
        <v>10000</v>
      </c>
      <c r="FI273" s="15">
        <f t="shared" ref="FI273:FI291" si="1297">FF273+FH273</f>
        <v>10000</v>
      </c>
      <c r="FK273" s="227">
        <v>2000</v>
      </c>
      <c r="FL273" s="15">
        <f t="shared" ref="FL273:FL291" si="1298">FI273+FK273</f>
        <v>12000</v>
      </c>
      <c r="FO273" s="15">
        <f t="shared" ref="FO273:FO291" si="1299">FL273+FN273</f>
        <v>12000</v>
      </c>
      <c r="FQ273" s="227">
        <v>3750</v>
      </c>
      <c r="FR273" s="15">
        <v>15750</v>
      </c>
      <c r="FT273" s="15">
        <v>15748.6</v>
      </c>
      <c r="FV273" s="15">
        <v>16000</v>
      </c>
      <c r="FW273" s="235">
        <f t="shared" si="1229"/>
        <v>1.0159633237240135</v>
      </c>
    </row>
    <row r="274" spans="1:179" outlineLevel="1">
      <c r="A274" s="1" t="s">
        <v>76</v>
      </c>
      <c r="B274" s="1" t="s">
        <v>159</v>
      </c>
      <c r="C274" s="4" t="s">
        <v>160</v>
      </c>
      <c r="D274" s="43">
        <v>65000</v>
      </c>
      <c r="E274" s="34">
        <v>55.31</v>
      </c>
      <c r="F274" s="43">
        <v>65000</v>
      </c>
      <c r="G274" s="34">
        <v>55.31</v>
      </c>
      <c r="H274" s="46">
        <v>35951</v>
      </c>
      <c r="I274" s="36">
        <v>40000</v>
      </c>
      <c r="J274" s="14"/>
      <c r="K274" t="s">
        <v>332</v>
      </c>
      <c r="L274" s="118">
        <v>43000</v>
      </c>
      <c r="M274" s="17">
        <f t="shared" si="1230"/>
        <v>-0.33846153846153848</v>
      </c>
      <c r="N274" s="17">
        <f t="shared" si="1227"/>
        <v>7.4999999999999956E-2</v>
      </c>
      <c r="Q274" s="118">
        <v>43000</v>
      </c>
      <c r="R274" s="15">
        <v>15996</v>
      </c>
      <c r="S274" s="118">
        <v>43000</v>
      </c>
      <c r="T274" s="15">
        <f>S274-Q274</f>
        <v>0</v>
      </c>
      <c r="U274" s="16">
        <f>S274/Q274-1</f>
        <v>0</v>
      </c>
      <c r="Y274" s="118">
        <v>43000</v>
      </c>
      <c r="AA274" s="118">
        <v>43000</v>
      </c>
      <c r="AB274" s="185">
        <f t="shared" si="1233"/>
        <v>0</v>
      </c>
      <c r="AC274" s="187">
        <f t="shared" si="1234"/>
        <v>0</v>
      </c>
      <c r="AD274" s="187"/>
      <c r="AE274" s="118">
        <v>44900</v>
      </c>
      <c r="AF274" s="182">
        <f>AE274-AA274</f>
        <v>1900</v>
      </c>
      <c r="AH274" s="15">
        <v>44885.7</v>
      </c>
      <c r="AI274" s="17">
        <f t="shared" si="1288"/>
        <v>0.99968151447661469</v>
      </c>
      <c r="AK274" s="118">
        <v>47000</v>
      </c>
      <c r="AR274" s="15"/>
      <c r="AS274" s="15">
        <f t="shared" si="1235"/>
        <v>47000</v>
      </c>
      <c r="AV274" s="15">
        <f t="shared" si="1236"/>
        <v>47000</v>
      </c>
      <c r="AX274" s="15"/>
      <c r="AY274" s="15">
        <f t="shared" si="1237"/>
        <v>47000</v>
      </c>
      <c r="BB274" s="15">
        <f t="shared" si="1238"/>
        <v>47000</v>
      </c>
      <c r="BD274" s="15">
        <v>-7000</v>
      </c>
      <c r="BE274" s="15">
        <f t="shared" si="1239"/>
        <v>40000</v>
      </c>
      <c r="BG274" s="15"/>
      <c r="BH274" s="15">
        <f t="shared" si="1240"/>
        <v>40000</v>
      </c>
      <c r="BJ274" s="15">
        <v>21649.96</v>
      </c>
      <c r="BK274" s="235">
        <f t="shared" si="1289"/>
        <v>0.54124899999999998</v>
      </c>
      <c r="BM274" s="196">
        <f>12*(7100+4150)</f>
        <v>135000</v>
      </c>
      <c r="BN274" s="235">
        <f t="shared" si="1284"/>
        <v>6.2355773405585975</v>
      </c>
      <c r="BO274" s="235">
        <f t="shared" si="1285"/>
        <v>3.375</v>
      </c>
      <c r="BQ274" s="15"/>
      <c r="BR274" s="15">
        <f t="shared" si="1286"/>
        <v>135000</v>
      </c>
      <c r="BT274" s="15"/>
      <c r="BU274" s="15">
        <f t="shared" si="1245"/>
        <v>135000</v>
      </c>
      <c r="BW274" s="15"/>
      <c r="BX274" s="15">
        <f t="shared" si="1246"/>
        <v>135000</v>
      </c>
      <c r="BZ274" s="15"/>
      <c r="CA274" s="15">
        <f t="shared" si="1247"/>
        <v>135000</v>
      </c>
      <c r="CC274" s="15"/>
      <c r="CD274" s="15">
        <f t="shared" si="1248"/>
        <v>135000</v>
      </c>
      <c r="CF274" s="15"/>
      <c r="CG274" s="15">
        <f t="shared" si="1249"/>
        <v>135000</v>
      </c>
      <c r="CI274" s="15"/>
      <c r="CJ274" s="15">
        <f t="shared" si="1250"/>
        <v>135000</v>
      </c>
      <c r="CM274" s="15">
        <f t="shared" si="1251"/>
        <v>135000</v>
      </c>
      <c r="CO274" s="15">
        <v>11000</v>
      </c>
      <c r="CP274" s="15">
        <f t="shared" si="1252"/>
        <v>146000</v>
      </c>
      <c r="CS274" s="15">
        <f t="shared" si="1253"/>
        <v>146000</v>
      </c>
      <c r="CU274" s="227">
        <v>17000</v>
      </c>
      <c r="CV274" s="15">
        <f t="shared" si="1254"/>
        <v>163000</v>
      </c>
      <c r="CX274" s="227"/>
      <c r="CY274" s="15">
        <f t="shared" si="1255"/>
        <v>163000</v>
      </c>
      <c r="DA274" s="15">
        <v>162809.23000000001</v>
      </c>
      <c r="DC274" s="15">
        <v>160000</v>
      </c>
      <c r="DE274" s="15"/>
      <c r="DF274" s="15">
        <f t="shared" si="1256"/>
        <v>160000</v>
      </c>
      <c r="DH274" s="15"/>
      <c r="DI274" s="15">
        <f t="shared" si="1257"/>
        <v>160000</v>
      </c>
      <c r="DK274" s="15"/>
      <c r="DL274" s="15">
        <f t="shared" si="1258"/>
        <v>160000</v>
      </c>
      <c r="DN274" s="15"/>
      <c r="DO274" s="15">
        <f t="shared" si="1259"/>
        <v>160000</v>
      </c>
      <c r="DQ274" s="227">
        <v>-43400</v>
      </c>
      <c r="DR274" s="15">
        <f t="shared" si="1260"/>
        <v>116600</v>
      </c>
      <c r="DT274" s="15"/>
      <c r="DU274" s="15">
        <f t="shared" si="1261"/>
        <v>116600</v>
      </c>
      <c r="DW274" s="15"/>
      <c r="DX274" s="15">
        <f t="shared" si="1262"/>
        <v>116600</v>
      </c>
      <c r="DZ274" s="227">
        <v>4000</v>
      </c>
      <c r="EA274" s="15">
        <f t="shared" si="1263"/>
        <v>120600</v>
      </c>
      <c r="EC274" s="227">
        <v>20000</v>
      </c>
      <c r="ED274" s="15">
        <f t="shared" si="1264"/>
        <v>140600</v>
      </c>
      <c r="EF274" s="227">
        <v>12800</v>
      </c>
      <c r="EG274" s="15">
        <f t="shared" si="1287"/>
        <v>153400</v>
      </c>
      <c r="EI274" s="15">
        <v>153343</v>
      </c>
      <c r="EK274" s="15">
        <v>160000</v>
      </c>
      <c r="EM274" s="15"/>
      <c r="EN274" s="15">
        <f t="shared" si="1290"/>
        <v>160000</v>
      </c>
      <c r="EP274" s="15"/>
      <c r="EQ274" s="15">
        <f t="shared" si="1291"/>
        <v>160000</v>
      </c>
      <c r="ES274" s="15"/>
      <c r="ET274" s="15">
        <f t="shared" si="1292"/>
        <v>160000</v>
      </c>
      <c r="EW274" s="15">
        <f t="shared" si="1293"/>
        <v>160000</v>
      </c>
      <c r="EZ274" s="15">
        <f t="shared" si="1294"/>
        <v>160000</v>
      </c>
      <c r="FB274" s="227">
        <v>-48000</v>
      </c>
      <c r="FC274" s="15">
        <f t="shared" si="1295"/>
        <v>112000</v>
      </c>
      <c r="FF274" s="15">
        <f t="shared" si="1296"/>
        <v>112000</v>
      </c>
      <c r="FI274" s="15">
        <f t="shared" si="1297"/>
        <v>112000</v>
      </c>
      <c r="FK274" s="227">
        <v>22000</v>
      </c>
      <c r="FL274" s="15">
        <f t="shared" si="1298"/>
        <v>134000</v>
      </c>
      <c r="FO274" s="15">
        <f t="shared" si="1299"/>
        <v>134000</v>
      </c>
      <c r="FR274" s="15">
        <v>134000</v>
      </c>
      <c r="FT274" s="15">
        <v>133920.24</v>
      </c>
      <c r="FV274" s="15">
        <v>135000</v>
      </c>
      <c r="FW274" s="235">
        <f t="shared" si="1229"/>
        <v>1.0080627095650367</v>
      </c>
    </row>
    <row r="275" spans="1:179" outlineLevel="1">
      <c r="A275" s="1" t="s">
        <v>76</v>
      </c>
      <c r="B275" s="1" t="s">
        <v>161</v>
      </c>
      <c r="C275" s="4" t="s">
        <v>162</v>
      </c>
      <c r="D275" s="43">
        <v>15000</v>
      </c>
      <c r="E275" s="34">
        <v>143.76</v>
      </c>
      <c r="F275" s="43">
        <v>32000</v>
      </c>
      <c r="G275" s="34">
        <v>67.39</v>
      </c>
      <c r="H275" s="46">
        <v>21564.39</v>
      </c>
      <c r="I275" s="36">
        <v>25000</v>
      </c>
      <c r="J275" s="14"/>
      <c r="K275" t="s">
        <v>332</v>
      </c>
      <c r="L275" s="118">
        <v>32000</v>
      </c>
      <c r="M275" s="17">
        <f t="shared" si="1230"/>
        <v>0</v>
      </c>
      <c r="N275" s="17">
        <f t="shared" si="1227"/>
        <v>0.28000000000000003</v>
      </c>
      <c r="Q275" s="118">
        <v>32000</v>
      </c>
      <c r="R275" s="15">
        <v>14228</v>
      </c>
      <c r="S275" s="118">
        <v>32000</v>
      </c>
      <c r="T275" s="15">
        <f t="shared" ref="T275:T291" si="1300">S275-Q275</f>
        <v>0</v>
      </c>
      <c r="U275" s="16">
        <f t="shared" ref="U275:U291" si="1301">S275/Q275-1</f>
        <v>0</v>
      </c>
      <c r="Y275" s="118">
        <v>32000</v>
      </c>
      <c r="AA275" s="118">
        <v>32000</v>
      </c>
      <c r="AB275" s="185">
        <f t="shared" si="1233"/>
        <v>0</v>
      </c>
      <c r="AC275" s="187">
        <f t="shared" si="1234"/>
        <v>0</v>
      </c>
      <c r="AD275" s="187"/>
      <c r="AE275" s="118">
        <v>32000</v>
      </c>
      <c r="AF275" s="182"/>
      <c r="AH275" s="15">
        <v>26783.1</v>
      </c>
      <c r="AI275" s="17">
        <f t="shared" si="1288"/>
        <v>0.83697187499999992</v>
      </c>
      <c r="AK275" s="118">
        <v>28000</v>
      </c>
      <c r="AR275" s="15"/>
      <c r="AS275" s="15">
        <f t="shared" si="1235"/>
        <v>28000</v>
      </c>
      <c r="AV275" s="15">
        <f t="shared" si="1236"/>
        <v>28000</v>
      </c>
      <c r="AX275" s="15"/>
      <c r="AY275" s="15">
        <f t="shared" si="1237"/>
        <v>28000</v>
      </c>
      <c r="BB275" s="15">
        <f t="shared" si="1238"/>
        <v>28000</v>
      </c>
      <c r="BD275" s="15">
        <v>5000</v>
      </c>
      <c r="BE275" s="15">
        <f t="shared" si="1239"/>
        <v>33000</v>
      </c>
      <c r="BG275" s="15"/>
      <c r="BH275" s="15">
        <f t="shared" si="1240"/>
        <v>33000</v>
      </c>
      <c r="BJ275" s="15">
        <v>26028</v>
      </c>
      <c r="BK275" s="235">
        <f t="shared" si="1289"/>
        <v>0.78872727272727272</v>
      </c>
      <c r="BM275" s="196">
        <f>12*(2700+1050)</f>
        <v>45000</v>
      </c>
      <c r="BN275" s="235">
        <f t="shared" si="1284"/>
        <v>1.7289073305670817</v>
      </c>
      <c r="BO275" s="235">
        <f t="shared" si="1285"/>
        <v>1.3636363636363635</v>
      </c>
      <c r="BQ275" s="15"/>
      <c r="BR275" s="15">
        <f t="shared" si="1286"/>
        <v>45000</v>
      </c>
      <c r="BT275" s="15"/>
      <c r="BU275" s="15">
        <f t="shared" si="1245"/>
        <v>45000</v>
      </c>
      <c r="BW275" s="15"/>
      <c r="BX275" s="15">
        <f t="shared" si="1246"/>
        <v>45000</v>
      </c>
      <c r="BZ275" s="15"/>
      <c r="CA275" s="15">
        <f t="shared" si="1247"/>
        <v>45000</v>
      </c>
      <c r="CC275" s="15"/>
      <c r="CD275" s="15">
        <f t="shared" si="1248"/>
        <v>45000</v>
      </c>
      <c r="CF275" s="15"/>
      <c r="CG275" s="15">
        <f t="shared" si="1249"/>
        <v>45000</v>
      </c>
      <c r="CI275" s="15"/>
      <c r="CJ275" s="15">
        <f t="shared" si="1250"/>
        <v>45000</v>
      </c>
      <c r="CM275" s="15">
        <f t="shared" si="1251"/>
        <v>45000</v>
      </c>
      <c r="CP275" s="15">
        <f t="shared" si="1252"/>
        <v>45000</v>
      </c>
      <c r="CS275" s="15">
        <f t="shared" si="1253"/>
        <v>45000</v>
      </c>
      <c r="CV275" s="15">
        <f t="shared" si="1254"/>
        <v>45000</v>
      </c>
      <c r="CY275" s="15">
        <f t="shared" si="1255"/>
        <v>45000</v>
      </c>
      <c r="DA275" s="15">
        <v>44678.77</v>
      </c>
      <c r="DC275" s="15">
        <v>44000</v>
      </c>
      <c r="DE275" s="15"/>
      <c r="DF275" s="15">
        <f t="shared" si="1256"/>
        <v>44000</v>
      </c>
      <c r="DH275" s="15"/>
      <c r="DI275" s="15">
        <f t="shared" si="1257"/>
        <v>44000</v>
      </c>
      <c r="DK275" s="15"/>
      <c r="DL275" s="15">
        <f t="shared" si="1258"/>
        <v>44000</v>
      </c>
      <c r="DN275" s="15"/>
      <c r="DO275" s="15">
        <f t="shared" si="1259"/>
        <v>44000</v>
      </c>
      <c r="DQ275" s="15"/>
      <c r="DR275" s="15">
        <f t="shared" si="1260"/>
        <v>44000</v>
      </c>
      <c r="DT275" s="15"/>
      <c r="DU275" s="15">
        <f t="shared" si="1261"/>
        <v>44000</v>
      </c>
      <c r="DW275" s="15"/>
      <c r="DX275" s="15">
        <f t="shared" si="1262"/>
        <v>44000</v>
      </c>
      <c r="DZ275" s="15"/>
      <c r="EA275" s="15">
        <f t="shared" si="1263"/>
        <v>44000</v>
      </c>
      <c r="EC275" s="15"/>
      <c r="ED275" s="15">
        <f t="shared" si="1264"/>
        <v>44000</v>
      </c>
      <c r="EF275" s="227">
        <v>500</v>
      </c>
      <c r="EG275" s="15">
        <f t="shared" si="1287"/>
        <v>44500</v>
      </c>
      <c r="EI275" s="15">
        <v>44460.1</v>
      </c>
      <c r="EK275" s="15">
        <v>45000</v>
      </c>
      <c r="EM275" s="15"/>
      <c r="EN275" s="15">
        <f t="shared" si="1290"/>
        <v>45000</v>
      </c>
      <c r="EP275" s="15"/>
      <c r="EQ275" s="15">
        <f t="shared" si="1291"/>
        <v>45000</v>
      </c>
      <c r="ES275" s="15"/>
      <c r="ET275" s="15">
        <f t="shared" si="1292"/>
        <v>45000</v>
      </c>
      <c r="EW275" s="15">
        <f t="shared" si="1293"/>
        <v>45000</v>
      </c>
      <c r="EZ275" s="15">
        <f t="shared" si="1294"/>
        <v>45000</v>
      </c>
      <c r="FC275" s="15">
        <f t="shared" si="1295"/>
        <v>45000</v>
      </c>
      <c r="FF275" s="15">
        <f t="shared" si="1296"/>
        <v>45000</v>
      </c>
      <c r="FI275" s="15">
        <f t="shared" si="1297"/>
        <v>45000</v>
      </c>
      <c r="FK275" s="227">
        <v>-10000</v>
      </c>
      <c r="FL275" s="15">
        <f t="shared" si="1298"/>
        <v>35000</v>
      </c>
      <c r="FO275" s="15">
        <f t="shared" si="1299"/>
        <v>35000</v>
      </c>
      <c r="FR275" s="15">
        <v>35000</v>
      </c>
      <c r="FT275" s="15">
        <v>34495.089999999997</v>
      </c>
      <c r="FV275" s="15">
        <v>35000</v>
      </c>
      <c r="FW275" s="235">
        <f t="shared" si="1229"/>
        <v>1.0146371556067835</v>
      </c>
    </row>
    <row r="276" spans="1:179" outlineLevel="1">
      <c r="A276" s="1" t="s">
        <v>76</v>
      </c>
      <c r="B276" s="1" t="s">
        <v>220</v>
      </c>
      <c r="C276" s="4" t="s">
        <v>221</v>
      </c>
      <c r="D276" s="43">
        <v>5000</v>
      </c>
      <c r="E276" s="34">
        <v>25.96</v>
      </c>
      <c r="F276" s="43">
        <v>5000</v>
      </c>
      <c r="G276" s="34">
        <v>25.96</v>
      </c>
      <c r="H276" s="46">
        <v>1298</v>
      </c>
      <c r="I276" s="36">
        <v>1600</v>
      </c>
      <c r="J276" s="14"/>
      <c r="K276" t="s">
        <v>332</v>
      </c>
      <c r="L276" s="118">
        <v>2000</v>
      </c>
      <c r="M276" s="17">
        <f t="shared" si="1230"/>
        <v>-0.6</v>
      </c>
      <c r="N276" s="17">
        <f t="shared" si="1227"/>
        <v>0.25</v>
      </c>
      <c r="Q276" s="118">
        <v>2000</v>
      </c>
      <c r="R276" s="15">
        <v>1301</v>
      </c>
      <c r="S276" s="118">
        <v>3000</v>
      </c>
      <c r="T276" s="15">
        <f t="shared" si="1300"/>
        <v>1000</v>
      </c>
      <c r="U276" s="16">
        <f t="shared" si="1301"/>
        <v>0.5</v>
      </c>
      <c r="Y276" s="118">
        <v>3000</v>
      </c>
      <c r="AA276" s="118">
        <v>3000</v>
      </c>
      <c r="AB276" s="185">
        <f t="shared" si="1233"/>
        <v>0</v>
      </c>
      <c r="AC276" s="187">
        <f t="shared" si="1234"/>
        <v>0</v>
      </c>
      <c r="AD276" s="187"/>
      <c r="AE276" s="118">
        <v>3700</v>
      </c>
      <c r="AF276" s="182">
        <f>AE276-AA276</f>
        <v>700</v>
      </c>
      <c r="AH276" s="15">
        <v>3686.8</v>
      </c>
      <c r="AI276" s="17">
        <f t="shared" si="1288"/>
        <v>0.99643243243243251</v>
      </c>
      <c r="AK276" s="118">
        <v>4000</v>
      </c>
      <c r="AR276" s="15"/>
      <c r="AS276" s="15">
        <f t="shared" si="1235"/>
        <v>4000</v>
      </c>
      <c r="AV276" s="15">
        <f t="shared" si="1236"/>
        <v>4000</v>
      </c>
      <c r="AX276" s="15"/>
      <c r="AY276" s="15">
        <f t="shared" si="1237"/>
        <v>4000</v>
      </c>
      <c r="BB276" s="15">
        <f t="shared" si="1238"/>
        <v>4000</v>
      </c>
      <c r="BD276" s="15">
        <v>-1800</v>
      </c>
      <c r="BE276" s="15">
        <f t="shared" si="1239"/>
        <v>2200</v>
      </c>
      <c r="BG276" s="15">
        <v>2000</v>
      </c>
      <c r="BH276" s="15">
        <f t="shared" si="1240"/>
        <v>4200</v>
      </c>
      <c r="BJ276" s="15">
        <v>3887.8</v>
      </c>
      <c r="BK276" s="235">
        <f t="shared" si="1289"/>
        <v>0.92566666666666675</v>
      </c>
      <c r="BM276" s="15">
        <v>4500</v>
      </c>
      <c r="BN276" s="235">
        <f t="shared" si="1284"/>
        <v>1.1574669478882658</v>
      </c>
      <c r="BO276" s="235">
        <f t="shared" si="1285"/>
        <v>1.0714285714285714</v>
      </c>
      <c r="BQ276" s="15"/>
      <c r="BR276" s="15">
        <f t="shared" si="1286"/>
        <v>4500</v>
      </c>
      <c r="BT276" s="15"/>
      <c r="BU276" s="15">
        <f t="shared" si="1245"/>
        <v>4500</v>
      </c>
      <c r="BW276" s="15"/>
      <c r="BX276" s="15">
        <f t="shared" si="1246"/>
        <v>4500</v>
      </c>
      <c r="BZ276" s="15"/>
      <c r="CA276" s="15">
        <f t="shared" si="1247"/>
        <v>4500</v>
      </c>
      <c r="CC276" s="15"/>
      <c r="CD276" s="15">
        <f t="shared" si="1248"/>
        <v>4500</v>
      </c>
      <c r="CF276" s="15"/>
      <c r="CG276" s="15">
        <f t="shared" si="1249"/>
        <v>4500</v>
      </c>
      <c r="CI276" s="15"/>
      <c r="CJ276" s="15">
        <f t="shared" si="1250"/>
        <v>4500</v>
      </c>
      <c r="CM276" s="15">
        <f t="shared" si="1251"/>
        <v>4500</v>
      </c>
      <c r="CP276" s="15">
        <f t="shared" si="1252"/>
        <v>4500</v>
      </c>
      <c r="CS276" s="15">
        <f t="shared" si="1253"/>
        <v>4500</v>
      </c>
      <c r="CV276" s="15">
        <f t="shared" si="1254"/>
        <v>4500</v>
      </c>
      <c r="CY276" s="15">
        <f t="shared" si="1255"/>
        <v>4500</v>
      </c>
      <c r="DA276" s="15">
        <v>4040.4</v>
      </c>
      <c r="DC276" s="15">
        <v>6000</v>
      </c>
      <c r="DE276" s="15"/>
      <c r="DF276" s="15">
        <f t="shared" si="1256"/>
        <v>6000</v>
      </c>
      <c r="DH276" s="15"/>
      <c r="DI276" s="15">
        <f t="shared" si="1257"/>
        <v>6000</v>
      </c>
      <c r="DK276" s="15"/>
      <c r="DL276" s="15">
        <f t="shared" si="1258"/>
        <v>6000</v>
      </c>
      <c r="DN276" s="15"/>
      <c r="DO276" s="15">
        <f t="shared" si="1259"/>
        <v>6000</v>
      </c>
      <c r="DQ276" s="15"/>
      <c r="DR276" s="15">
        <f t="shared" si="1260"/>
        <v>6000</v>
      </c>
      <c r="DT276" s="15"/>
      <c r="DU276" s="15">
        <f t="shared" si="1261"/>
        <v>6000</v>
      </c>
      <c r="DW276" s="15"/>
      <c r="DX276" s="15">
        <f t="shared" si="1262"/>
        <v>6000</v>
      </c>
      <c r="DZ276" s="15"/>
      <c r="EA276" s="15">
        <f t="shared" si="1263"/>
        <v>6000</v>
      </c>
      <c r="EC276" s="15"/>
      <c r="ED276" s="15">
        <f t="shared" si="1264"/>
        <v>6000</v>
      </c>
      <c r="EF276" s="15"/>
      <c r="EG276" s="15">
        <f t="shared" si="1287"/>
        <v>6000</v>
      </c>
      <c r="EI276" s="15">
        <v>4272.3999999999996</v>
      </c>
      <c r="EK276" s="15">
        <v>2000</v>
      </c>
      <c r="EM276" s="15"/>
      <c r="EN276" s="15">
        <f t="shared" si="1290"/>
        <v>2000</v>
      </c>
      <c r="EP276" s="15"/>
      <c r="EQ276" s="15">
        <f t="shared" si="1291"/>
        <v>2000</v>
      </c>
      <c r="ES276" s="15"/>
      <c r="ET276" s="15">
        <f t="shared" si="1292"/>
        <v>2000</v>
      </c>
      <c r="EW276" s="15">
        <f t="shared" si="1293"/>
        <v>2000</v>
      </c>
      <c r="EZ276" s="15">
        <f t="shared" si="1294"/>
        <v>2000</v>
      </c>
      <c r="FC276" s="15">
        <f t="shared" si="1295"/>
        <v>2000</v>
      </c>
      <c r="FF276" s="15">
        <f t="shared" si="1296"/>
        <v>2000</v>
      </c>
      <c r="FI276" s="15">
        <f t="shared" si="1297"/>
        <v>2000</v>
      </c>
      <c r="FL276" s="15">
        <f t="shared" si="1298"/>
        <v>2000</v>
      </c>
      <c r="FO276" s="15">
        <f t="shared" si="1299"/>
        <v>2000</v>
      </c>
      <c r="FR276" s="15">
        <v>2000</v>
      </c>
      <c r="FT276" s="15">
        <v>1802.8</v>
      </c>
      <c r="FV276" s="15">
        <v>2000</v>
      </c>
      <c r="FW276" s="235">
        <f t="shared" si="1229"/>
        <v>1.1093854004881296</v>
      </c>
    </row>
    <row r="277" spans="1:179" outlineLevel="1">
      <c r="A277" s="1" t="s">
        <v>76</v>
      </c>
      <c r="B277" s="1" t="s">
        <v>227</v>
      </c>
      <c r="C277" s="4" t="s">
        <v>228</v>
      </c>
      <c r="D277" s="43">
        <v>30000</v>
      </c>
      <c r="E277" s="34">
        <v>30.53</v>
      </c>
      <c r="F277" s="43">
        <v>30000</v>
      </c>
      <c r="G277" s="34">
        <v>30.53</v>
      </c>
      <c r="H277" s="46">
        <v>9159.48</v>
      </c>
      <c r="I277" s="36">
        <f>H277*I2</f>
        <v>10991.375999999998</v>
      </c>
      <c r="J277" s="14"/>
      <c r="K277" t="s">
        <v>332</v>
      </c>
      <c r="L277" s="118">
        <v>12000</v>
      </c>
      <c r="M277" s="17">
        <f t="shared" si="1230"/>
        <v>-0.6</v>
      </c>
      <c r="N277" s="17">
        <f t="shared" si="1227"/>
        <v>9.1765034696293046E-2</v>
      </c>
      <c r="Q277" s="118">
        <v>12000</v>
      </c>
      <c r="R277" s="15">
        <v>3642</v>
      </c>
      <c r="S277" s="118">
        <v>10000</v>
      </c>
      <c r="T277" s="15">
        <f t="shared" si="1300"/>
        <v>-2000</v>
      </c>
      <c r="U277" s="16">
        <f t="shared" si="1301"/>
        <v>-0.16666666666666663</v>
      </c>
      <c r="Y277" s="118">
        <v>10000</v>
      </c>
      <c r="AA277" s="118">
        <v>10000</v>
      </c>
      <c r="AB277" s="185">
        <f t="shared" si="1233"/>
        <v>0</v>
      </c>
      <c r="AC277" s="187">
        <f t="shared" si="1234"/>
        <v>0</v>
      </c>
      <c r="AD277" s="187"/>
      <c r="AE277" s="118">
        <v>10000</v>
      </c>
      <c r="AF277" s="182"/>
      <c r="AH277" s="15">
        <v>7031.45</v>
      </c>
      <c r="AI277" s="17">
        <f t="shared" si="1288"/>
        <v>0.70314500000000002</v>
      </c>
      <c r="AK277" s="118">
        <v>8000</v>
      </c>
      <c r="AR277" s="15"/>
      <c r="AS277" s="15">
        <f t="shared" si="1235"/>
        <v>8000</v>
      </c>
      <c r="AV277" s="15">
        <f t="shared" si="1236"/>
        <v>8000</v>
      </c>
      <c r="AX277" s="15"/>
      <c r="AY277" s="15">
        <f t="shared" si="1237"/>
        <v>8000</v>
      </c>
      <c r="BB277" s="15">
        <f t="shared" si="1238"/>
        <v>8000</v>
      </c>
      <c r="BD277" s="15">
        <v>-2000</v>
      </c>
      <c r="BE277" s="15">
        <f t="shared" si="1239"/>
        <v>6000</v>
      </c>
      <c r="BG277" s="15"/>
      <c r="BH277" s="15">
        <f t="shared" si="1240"/>
        <v>6000</v>
      </c>
      <c r="BJ277" s="15">
        <v>4693.1000000000004</v>
      </c>
      <c r="BK277" s="235">
        <f t="shared" si="1289"/>
        <v>0.78218333333333334</v>
      </c>
      <c r="BM277" s="15">
        <v>5000</v>
      </c>
      <c r="BN277" s="235">
        <f t="shared" si="1284"/>
        <v>1.065393876116</v>
      </c>
      <c r="BO277" s="235">
        <f t="shared" si="1285"/>
        <v>0.83333333333333337</v>
      </c>
      <c r="BQ277" s="15"/>
      <c r="BR277" s="15">
        <f t="shared" si="1286"/>
        <v>5000</v>
      </c>
      <c r="BT277" s="15"/>
      <c r="BU277" s="15">
        <f t="shared" si="1245"/>
        <v>5000</v>
      </c>
      <c r="BW277" s="15"/>
      <c r="BX277" s="15">
        <f t="shared" si="1246"/>
        <v>5000</v>
      </c>
      <c r="BZ277" s="15"/>
      <c r="CA277" s="15">
        <f t="shared" si="1247"/>
        <v>5000</v>
      </c>
      <c r="CC277" s="15"/>
      <c r="CD277" s="15">
        <f t="shared" si="1248"/>
        <v>5000</v>
      </c>
      <c r="CF277" s="15"/>
      <c r="CG277" s="15">
        <f t="shared" si="1249"/>
        <v>5000</v>
      </c>
      <c r="CI277" s="15"/>
      <c r="CJ277" s="15">
        <f t="shared" si="1250"/>
        <v>5000</v>
      </c>
      <c r="CM277" s="15">
        <f t="shared" si="1251"/>
        <v>5000</v>
      </c>
      <c r="CP277" s="15">
        <f t="shared" si="1252"/>
        <v>5000</v>
      </c>
      <c r="CS277" s="15">
        <f t="shared" si="1253"/>
        <v>5000</v>
      </c>
      <c r="CV277" s="15">
        <f t="shared" si="1254"/>
        <v>5000</v>
      </c>
      <c r="CY277" s="15">
        <f t="shared" si="1255"/>
        <v>5000</v>
      </c>
      <c r="DA277" s="15">
        <v>3414.94</v>
      </c>
      <c r="DC277" s="15">
        <v>5000</v>
      </c>
      <c r="DE277" s="15"/>
      <c r="DF277" s="15">
        <f t="shared" si="1256"/>
        <v>5000</v>
      </c>
      <c r="DH277" s="15"/>
      <c r="DI277" s="15">
        <f t="shared" si="1257"/>
        <v>5000</v>
      </c>
      <c r="DK277" s="15"/>
      <c r="DL277" s="15">
        <f t="shared" si="1258"/>
        <v>5000</v>
      </c>
      <c r="DN277" s="15"/>
      <c r="DO277" s="15">
        <f t="shared" si="1259"/>
        <v>5000</v>
      </c>
      <c r="DQ277" s="15"/>
      <c r="DR277" s="15">
        <f t="shared" si="1260"/>
        <v>5000</v>
      </c>
      <c r="DT277" s="15"/>
      <c r="DU277" s="15">
        <f t="shared" si="1261"/>
        <v>5000</v>
      </c>
      <c r="DW277" s="15"/>
      <c r="DX277" s="15">
        <f t="shared" si="1262"/>
        <v>5000</v>
      </c>
      <c r="DZ277" s="15"/>
      <c r="EA277" s="15">
        <f t="shared" si="1263"/>
        <v>5000</v>
      </c>
      <c r="EC277" s="15"/>
      <c r="ED277" s="15">
        <f t="shared" si="1264"/>
        <v>5000</v>
      </c>
      <c r="EF277" s="15"/>
      <c r="EG277" s="15">
        <f t="shared" si="1287"/>
        <v>5000</v>
      </c>
      <c r="EI277" s="15">
        <v>3396.94</v>
      </c>
      <c r="EK277" s="15">
        <v>3500</v>
      </c>
      <c r="EM277" s="15"/>
      <c r="EN277" s="15">
        <f t="shared" si="1290"/>
        <v>3500</v>
      </c>
      <c r="EP277" s="15"/>
      <c r="EQ277" s="15">
        <f t="shared" si="1291"/>
        <v>3500</v>
      </c>
      <c r="ES277" s="15"/>
      <c r="ET277" s="15">
        <f t="shared" si="1292"/>
        <v>3500</v>
      </c>
      <c r="EW277" s="15">
        <f t="shared" si="1293"/>
        <v>3500</v>
      </c>
      <c r="EZ277" s="15">
        <f t="shared" si="1294"/>
        <v>3500</v>
      </c>
      <c r="FC277" s="15">
        <f t="shared" si="1295"/>
        <v>3500</v>
      </c>
      <c r="FF277" s="15">
        <f t="shared" si="1296"/>
        <v>3500</v>
      </c>
      <c r="FI277" s="15">
        <f t="shared" si="1297"/>
        <v>3500</v>
      </c>
      <c r="FL277" s="15">
        <f t="shared" si="1298"/>
        <v>3500</v>
      </c>
      <c r="FO277" s="15">
        <f t="shared" si="1299"/>
        <v>3500</v>
      </c>
      <c r="FR277" s="15">
        <v>3500</v>
      </c>
      <c r="FT277" s="15">
        <v>2843.95</v>
      </c>
      <c r="FV277" s="15">
        <v>3000</v>
      </c>
      <c r="FW277" s="235">
        <f t="shared" si="1229"/>
        <v>1.054870866224793</v>
      </c>
    </row>
    <row r="278" spans="1:179" outlineLevel="1">
      <c r="A278" s="1" t="s">
        <v>76</v>
      </c>
      <c r="B278" s="1" t="s">
        <v>229</v>
      </c>
      <c r="C278" s="4" t="s">
        <v>230</v>
      </c>
      <c r="D278" s="43">
        <v>7000</v>
      </c>
      <c r="E278" s="34">
        <v>77.17</v>
      </c>
      <c r="F278" s="43">
        <v>7000</v>
      </c>
      <c r="G278" s="34">
        <v>77.17</v>
      </c>
      <c r="H278" s="46">
        <v>5402</v>
      </c>
      <c r="I278" s="15">
        <f>H278*$I$2</f>
        <v>6482.4</v>
      </c>
      <c r="K278" t="s">
        <v>332</v>
      </c>
      <c r="L278" s="118">
        <v>7200</v>
      </c>
      <c r="M278" s="17">
        <f t="shared" si="1230"/>
        <v>2.857142857142847E-2</v>
      </c>
      <c r="N278" s="17">
        <f t="shared" si="1227"/>
        <v>0.11069974083672718</v>
      </c>
      <c r="Q278" s="118">
        <v>7200</v>
      </c>
      <c r="R278" s="15">
        <v>2917</v>
      </c>
      <c r="S278" s="118">
        <v>6000</v>
      </c>
      <c r="T278" s="15">
        <f t="shared" si="1300"/>
        <v>-1200</v>
      </c>
      <c r="U278" s="16">
        <f t="shared" si="1301"/>
        <v>-0.16666666666666663</v>
      </c>
      <c r="Y278" s="118">
        <v>6000</v>
      </c>
      <c r="AA278" s="118">
        <v>4500</v>
      </c>
      <c r="AB278" s="185">
        <f t="shared" si="1233"/>
        <v>-1500</v>
      </c>
      <c r="AC278" s="187">
        <f t="shared" si="1234"/>
        <v>-1500</v>
      </c>
      <c r="AD278" s="187"/>
      <c r="AE278" s="118">
        <v>4500</v>
      </c>
      <c r="AF278" s="182"/>
      <c r="AH278" s="15">
        <v>0</v>
      </c>
      <c r="AI278" s="17">
        <f t="shared" si="1288"/>
        <v>0</v>
      </c>
      <c r="AK278" s="118">
        <v>0</v>
      </c>
      <c r="AR278" s="15"/>
      <c r="AS278" s="15">
        <f t="shared" si="1235"/>
        <v>0</v>
      </c>
      <c r="AV278" s="15">
        <f t="shared" si="1236"/>
        <v>0</v>
      </c>
      <c r="AX278" s="15"/>
      <c r="AY278" s="15">
        <f t="shared" si="1237"/>
        <v>0</v>
      </c>
      <c r="BB278" s="15">
        <f t="shared" si="1238"/>
        <v>0</v>
      </c>
      <c r="BD278" s="15"/>
      <c r="BE278" s="15">
        <f t="shared" si="1239"/>
        <v>0</v>
      </c>
      <c r="BG278" s="15"/>
      <c r="BH278" s="15">
        <f t="shared" si="1240"/>
        <v>0</v>
      </c>
      <c r="BJ278" s="15">
        <v>0</v>
      </c>
      <c r="BK278" s="235" t="e">
        <f t="shared" si="1289"/>
        <v>#DIV/0!</v>
      </c>
      <c r="BM278" s="15"/>
      <c r="BN278" s="235" t="e">
        <f t="shared" si="1284"/>
        <v>#DIV/0!</v>
      </c>
      <c r="BO278" s="235" t="e">
        <f t="shared" si="1285"/>
        <v>#DIV/0!</v>
      </c>
      <c r="BQ278" s="15"/>
      <c r="BR278" s="15">
        <f t="shared" si="1286"/>
        <v>0</v>
      </c>
      <c r="BT278" s="15"/>
      <c r="BU278" s="15">
        <f t="shared" si="1245"/>
        <v>0</v>
      </c>
      <c r="BW278" s="15"/>
      <c r="BX278" s="15">
        <f t="shared" si="1246"/>
        <v>0</v>
      </c>
      <c r="BZ278" s="15"/>
      <c r="CA278" s="15">
        <f t="shared" si="1247"/>
        <v>0</v>
      </c>
      <c r="CC278" s="15"/>
      <c r="CD278" s="15">
        <f t="shared" si="1248"/>
        <v>0</v>
      </c>
      <c r="CF278" s="15"/>
      <c r="CG278" s="15">
        <f t="shared" si="1249"/>
        <v>0</v>
      </c>
      <c r="CI278" s="15"/>
      <c r="CJ278" s="15">
        <f t="shared" si="1250"/>
        <v>0</v>
      </c>
      <c r="CM278" s="15">
        <f t="shared" si="1251"/>
        <v>0</v>
      </c>
      <c r="CP278" s="15">
        <f t="shared" si="1252"/>
        <v>0</v>
      </c>
      <c r="CS278" s="15">
        <f t="shared" si="1253"/>
        <v>0</v>
      </c>
      <c r="CV278" s="15">
        <f t="shared" si="1254"/>
        <v>0</v>
      </c>
      <c r="CY278" s="15">
        <f t="shared" si="1255"/>
        <v>0</v>
      </c>
      <c r="DA278" s="15">
        <v>0</v>
      </c>
      <c r="DE278" s="15"/>
      <c r="DF278" s="15">
        <f t="shared" si="1256"/>
        <v>0</v>
      </c>
      <c r="DH278" s="15"/>
      <c r="DI278" s="15">
        <f t="shared" si="1257"/>
        <v>0</v>
      </c>
      <c r="DK278" s="15"/>
      <c r="DL278" s="15">
        <f t="shared" si="1258"/>
        <v>0</v>
      </c>
      <c r="DN278" s="15"/>
      <c r="DO278" s="15">
        <f t="shared" si="1259"/>
        <v>0</v>
      </c>
      <c r="DQ278" s="15"/>
      <c r="DR278" s="15">
        <f t="shared" si="1260"/>
        <v>0</v>
      </c>
      <c r="DT278" s="15"/>
      <c r="DU278" s="15">
        <f t="shared" si="1261"/>
        <v>0</v>
      </c>
      <c r="DW278" s="15"/>
      <c r="DX278" s="15">
        <f t="shared" si="1262"/>
        <v>0</v>
      </c>
      <c r="DZ278" s="15"/>
      <c r="EA278" s="15">
        <f t="shared" si="1263"/>
        <v>0</v>
      </c>
      <c r="EC278" s="15"/>
      <c r="ED278" s="15">
        <f t="shared" si="1264"/>
        <v>0</v>
      </c>
      <c r="EF278" s="15"/>
      <c r="EG278" s="15">
        <f t="shared" si="1287"/>
        <v>0</v>
      </c>
      <c r="EK278" s="15"/>
      <c r="EM278" s="15"/>
      <c r="EN278" s="15">
        <f t="shared" si="1290"/>
        <v>0</v>
      </c>
      <c r="EP278" s="15"/>
      <c r="EQ278" s="15">
        <f t="shared" si="1291"/>
        <v>0</v>
      </c>
      <c r="ES278" s="15"/>
      <c r="ET278" s="15">
        <f t="shared" si="1292"/>
        <v>0</v>
      </c>
      <c r="EW278" s="15">
        <f t="shared" si="1293"/>
        <v>0</v>
      </c>
      <c r="EZ278" s="15">
        <f t="shared" si="1294"/>
        <v>0</v>
      </c>
      <c r="FC278" s="15">
        <f t="shared" si="1295"/>
        <v>0</v>
      </c>
      <c r="FF278" s="15">
        <f t="shared" si="1296"/>
        <v>0</v>
      </c>
      <c r="FI278" s="15">
        <f t="shared" si="1297"/>
        <v>0</v>
      </c>
      <c r="FL278" s="15">
        <f t="shared" si="1298"/>
        <v>0</v>
      </c>
      <c r="FO278" s="15">
        <f t="shared" si="1299"/>
        <v>0</v>
      </c>
      <c r="FR278" s="15">
        <v>0</v>
      </c>
      <c r="FW278" s="235" t="e">
        <f t="shared" si="1229"/>
        <v>#DIV/0!</v>
      </c>
    </row>
    <row r="279" spans="1:179" outlineLevel="1">
      <c r="A279" s="1" t="s">
        <v>76</v>
      </c>
      <c r="B279" s="1" t="s">
        <v>195</v>
      </c>
      <c r="C279" s="4" t="s">
        <v>196</v>
      </c>
      <c r="D279" s="43">
        <v>30000</v>
      </c>
      <c r="E279" s="34">
        <v>76.709999999999994</v>
      </c>
      <c r="F279" s="43">
        <v>30000</v>
      </c>
      <c r="G279" s="34">
        <v>76.709999999999994</v>
      </c>
      <c r="H279" s="46">
        <v>23012</v>
      </c>
      <c r="I279" s="36">
        <v>27200</v>
      </c>
      <c r="J279" s="14"/>
      <c r="L279" s="118">
        <v>15000</v>
      </c>
      <c r="M279" s="17">
        <f t="shared" ref="M279" si="1302">L279/F279-1</f>
        <v>-0.5</v>
      </c>
      <c r="N279" s="17">
        <f t="shared" ref="N279" si="1303">L279/I279-1</f>
        <v>-0.44852941176470584</v>
      </c>
      <c r="Q279" s="118">
        <v>15000</v>
      </c>
      <c r="R279" s="15">
        <v>6430</v>
      </c>
      <c r="S279" s="118">
        <v>9000</v>
      </c>
      <c r="T279" s="15">
        <f t="shared" ref="T279" si="1304">S279-Q279</f>
        <v>-6000</v>
      </c>
      <c r="U279" s="16">
        <f t="shared" ref="U279" si="1305">S279/Q279-1</f>
        <v>-0.4</v>
      </c>
      <c r="Y279" s="118">
        <v>9000</v>
      </c>
      <c r="AA279" s="118">
        <v>9000</v>
      </c>
      <c r="AB279" s="185">
        <f t="shared" ref="AB279" si="1306">AA279-Y279</f>
        <v>0</v>
      </c>
      <c r="AC279" s="187">
        <f t="shared" ref="AC279" si="1307">AA279-Y279</f>
        <v>0</v>
      </c>
      <c r="AD279" s="187"/>
      <c r="AE279" s="118">
        <v>9000</v>
      </c>
      <c r="AF279" s="182"/>
      <c r="AH279" s="15">
        <v>8530</v>
      </c>
      <c r="AI279" s="17">
        <f t="shared" si="1288"/>
        <v>0.94777777777777783</v>
      </c>
      <c r="AK279" s="118">
        <v>9000</v>
      </c>
      <c r="AR279" s="15"/>
      <c r="AS279" s="15">
        <f t="shared" si="1235"/>
        <v>9000</v>
      </c>
      <c r="AU279" s="15">
        <v>3000</v>
      </c>
      <c r="AV279" s="15">
        <f t="shared" si="1236"/>
        <v>12000</v>
      </c>
      <c r="AX279" s="15"/>
      <c r="AY279" s="15">
        <f t="shared" si="1237"/>
        <v>12000</v>
      </c>
      <c r="BB279" s="15">
        <f t="shared" si="1238"/>
        <v>12000</v>
      </c>
      <c r="BD279" s="15">
        <v>2000</v>
      </c>
      <c r="BE279" s="15">
        <f t="shared" si="1239"/>
        <v>14000</v>
      </c>
      <c r="BG279" s="15">
        <v>3000</v>
      </c>
      <c r="BH279" s="15">
        <f t="shared" si="1240"/>
        <v>17000</v>
      </c>
      <c r="BJ279" s="15">
        <v>16825.900000000001</v>
      </c>
      <c r="BK279" s="235">
        <f t="shared" si="1289"/>
        <v>0.9897588235294118</v>
      </c>
      <c r="BM279" s="15">
        <v>14000</v>
      </c>
      <c r="BN279" s="235">
        <f t="shared" si="1284"/>
        <v>0.8320505886757914</v>
      </c>
      <c r="BO279" s="235">
        <f t="shared" si="1285"/>
        <v>0.82352941176470584</v>
      </c>
      <c r="BQ279" s="15"/>
      <c r="BR279" s="15">
        <f t="shared" si="1286"/>
        <v>14000</v>
      </c>
      <c r="BT279" s="227">
        <v>5000</v>
      </c>
      <c r="BU279" s="15">
        <f t="shared" si="1245"/>
        <v>19000</v>
      </c>
      <c r="BW279" s="15"/>
      <c r="BX279" s="15">
        <f t="shared" si="1246"/>
        <v>19000</v>
      </c>
      <c r="BZ279" s="15"/>
      <c r="CA279" s="15">
        <f t="shared" si="1247"/>
        <v>19000</v>
      </c>
      <c r="CC279" s="15"/>
      <c r="CD279" s="15">
        <f t="shared" si="1248"/>
        <v>19000</v>
      </c>
      <c r="CF279" s="15"/>
      <c r="CG279" s="15">
        <f t="shared" si="1249"/>
        <v>19000</v>
      </c>
      <c r="CI279" s="15"/>
      <c r="CJ279" s="15">
        <f t="shared" si="1250"/>
        <v>19000</v>
      </c>
      <c r="CM279" s="15">
        <f t="shared" si="1251"/>
        <v>19000</v>
      </c>
      <c r="CP279" s="15">
        <f t="shared" si="1252"/>
        <v>19000</v>
      </c>
      <c r="CS279" s="15">
        <f t="shared" si="1253"/>
        <v>19000</v>
      </c>
      <c r="CU279" s="227">
        <v>2000</v>
      </c>
      <c r="CV279" s="15">
        <f t="shared" si="1254"/>
        <v>21000</v>
      </c>
      <c r="CX279" s="227"/>
      <c r="CY279" s="15">
        <f t="shared" si="1255"/>
        <v>21000</v>
      </c>
      <c r="DA279" s="15">
        <v>20860</v>
      </c>
      <c r="DC279" s="15">
        <v>15000</v>
      </c>
      <c r="DE279" s="15"/>
      <c r="DF279" s="15">
        <f t="shared" si="1256"/>
        <v>15000</v>
      </c>
      <c r="DH279" s="15"/>
      <c r="DI279" s="15">
        <f t="shared" si="1257"/>
        <v>15000</v>
      </c>
      <c r="DK279" s="15"/>
      <c r="DL279" s="15">
        <f t="shared" si="1258"/>
        <v>15000</v>
      </c>
      <c r="DN279" s="15"/>
      <c r="DO279" s="15">
        <f t="shared" si="1259"/>
        <v>15000</v>
      </c>
      <c r="DQ279" s="15"/>
      <c r="DR279" s="15">
        <f t="shared" si="1260"/>
        <v>15000</v>
      </c>
      <c r="DT279" s="15"/>
      <c r="DU279" s="15">
        <f t="shared" si="1261"/>
        <v>15000</v>
      </c>
      <c r="DW279" s="15"/>
      <c r="DX279" s="15">
        <f t="shared" si="1262"/>
        <v>15000</v>
      </c>
      <c r="DZ279" s="227">
        <v>3000</v>
      </c>
      <c r="EA279" s="15">
        <f t="shared" si="1263"/>
        <v>18000</v>
      </c>
      <c r="EC279" s="15"/>
      <c r="ED279" s="15">
        <f t="shared" si="1264"/>
        <v>18000</v>
      </c>
      <c r="EF279" s="15"/>
      <c r="EG279" s="15">
        <f t="shared" si="1287"/>
        <v>18000</v>
      </c>
      <c r="EI279" s="15">
        <v>17153</v>
      </c>
      <c r="EK279" s="15">
        <v>15000</v>
      </c>
      <c r="EM279" s="15"/>
      <c r="EN279" s="15">
        <f t="shared" si="1290"/>
        <v>15000</v>
      </c>
      <c r="EP279" s="15"/>
      <c r="EQ279" s="15">
        <f t="shared" si="1291"/>
        <v>15000</v>
      </c>
      <c r="ES279" s="15"/>
      <c r="ET279" s="15">
        <f t="shared" si="1292"/>
        <v>15000</v>
      </c>
      <c r="EW279" s="15">
        <f t="shared" si="1293"/>
        <v>15000</v>
      </c>
      <c r="EZ279" s="15">
        <f t="shared" si="1294"/>
        <v>15000</v>
      </c>
      <c r="FC279" s="15">
        <f t="shared" si="1295"/>
        <v>15000</v>
      </c>
      <c r="FF279" s="15">
        <f t="shared" si="1296"/>
        <v>15000</v>
      </c>
      <c r="FI279" s="15">
        <f t="shared" si="1297"/>
        <v>15000</v>
      </c>
      <c r="FK279" s="227">
        <v>-6000</v>
      </c>
      <c r="FL279" s="15">
        <f t="shared" si="1298"/>
        <v>9000</v>
      </c>
      <c r="FN279" s="227">
        <v>1100</v>
      </c>
      <c r="FO279" s="15">
        <f t="shared" si="1299"/>
        <v>10100</v>
      </c>
      <c r="FR279" s="15">
        <v>10100</v>
      </c>
      <c r="FT279" s="15">
        <v>10057</v>
      </c>
      <c r="FV279" s="15">
        <v>10000</v>
      </c>
      <c r="FW279" s="235">
        <f t="shared" si="1229"/>
        <v>0.99433230585661725</v>
      </c>
    </row>
    <row r="280" spans="1:179" outlineLevel="1">
      <c r="A280" s="1" t="s">
        <v>76</v>
      </c>
      <c r="B280" s="1" t="s">
        <v>390</v>
      </c>
      <c r="C280" s="4" t="s">
        <v>421</v>
      </c>
      <c r="D280" s="43"/>
      <c r="E280" s="34"/>
      <c r="F280" s="43"/>
      <c r="G280" s="34"/>
      <c r="H280" s="46"/>
      <c r="M280" s="17"/>
      <c r="N280" s="17"/>
      <c r="U280" s="16"/>
      <c r="Y280" s="118"/>
      <c r="AA280" s="118">
        <v>18000</v>
      </c>
      <c r="AB280" s="185">
        <f t="shared" si="1233"/>
        <v>18000</v>
      </c>
      <c r="AC280" s="187">
        <f t="shared" si="1234"/>
        <v>18000</v>
      </c>
      <c r="AD280" s="187"/>
      <c r="AE280" s="118">
        <v>18000</v>
      </c>
      <c r="AF280" s="182"/>
      <c r="AH280" s="15">
        <v>6642.9</v>
      </c>
      <c r="AI280" s="17">
        <f t="shared" si="1288"/>
        <v>0.36904999999999999</v>
      </c>
      <c r="AK280" s="118">
        <v>25000</v>
      </c>
      <c r="AP280" s="220">
        <v>18000</v>
      </c>
      <c r="AR280" s="15"/>
      <c r="AS280" s="15">
        <f t="shared" si="1235"/>
        <v>25000</v>
      </c>
      <c r="AV280" s="15">
        <f t="shared" si="1236"/>
        <v>25000</v>
      </c>
      <c r="AX280" s="15"/>
      <c r="AY280" s="15">
        <f t="shared" si="1237"/>
        <v>25000</v>
      </c>
      <c r="BB280" s="15">
        <f t="shared" si="1238"/>
        <v>25000</v>
      </c>
      <c r="BD280" s="15"/>
      <c r="BE280" s="15">
        <f t="shared" si="1239"/>
        <v>25000</v>
      </c>
      <c r="BG280" s="15"/>
      <c r="BH280" s="15">
        <f t="shared" si="1240"/>
        <v>25000</v>
      </c>
      <c r="BJ280" s="15">
        <v>21271.8</v>
      </c>
      <c r="BK280" s="235">
        <f t="shared" si="1289"/>
        <v>0.85087199999999996</v>
      </c>
      <c r="BM280" s="15">
        <v>25000</v>
      </c>
      <c r="BN280" s="235">
        <f t="shared" si="1284"/>
        <v>1.1752649047095216</v>
      </c>
      <c r="BO280" s="235">
        <f t="shared" si="1285"/>
        <v>1</v>
      </c>
      <c r="BQ280" s="15"/>
      <c r="BR280" s="15">
        <f t="shared" si="1286"/>
        <v>25000</v>
      </c>
      <c r="BT280" s="15"/>
      <c r="BU280" s="15">
        <f t="shared" si="1245"/>
        <v>25000</v>
      </c>
      <c r="BW280" s="15"/>
      <c r="BX280" s="15">
        <f t="shared" si="1246"/>
        <v>25000</v>
      </c>
      <c r="BZ280" s="15"/>
      <c r="CA280" s="15">
        <f t="shared" si="1247"/>
        <v>25000</v>
      </c>
      <c r="CC280" s="15"/>
      <c r="CD280" s="15">
        <f t="shared" si="1248"/>
        <v>25000</v>
      </c>
      <c r="CF280" s="15"/>
      <c r="CG280" s="15">
        <f t="shared" si="1249"/>
        <v>25000</v>
      </c>
      <c r="CI280" s="15"/>
      <c r="CJ280" s="15">
        <f t="shared" si="1250"/>
        <v>25000</v>
      </c>
      <c r="CM280" s="15">
        <f t="shared" si="1251"/>
        <v>25000</v>
      </c>
      <c r="CP280" s="15">
        <f t="shared" si="1252"/>
        <v>25000</v>
      </c>
      <c r="CS280" s="15">
        <f t="shared" si="1253"/>
        <v>25000</v>
      </c>
      <c r="CV280" s="15">
        <f t="shared" si="1254"/>
        <v>25000</v>
      </c>
      <c r="CY280" s="15">
        <f t="shared" si="1255"/>
        <v>25000</v>
      </c>
      <c r="DA280" s="15">
        <v>23147.3</v>
      </c>
      <c r="DC280" s="15">
        <v>25000</v>
      </c>
      <c r="DE280" s="15"/>
      <c r="DF280" s="15">
        <f t="shared" si="1256"/>
        <v>25000</v>
      </c>
      <c r="DH280" s="227">
        <v>21000</v>
      </c>
      <c r="DI280" s="15">
        <f t="shared" si="1257"/>
        <v>46000</v>
      </c>
      <c r="DK280" s="15"/>
      <c r="DL280" s="15">
        <f t="shared" si="1258"/>
        <v>46000</v>
      </c>
      <c r="DN280" s="15"/>
      <c r="DO280" s="15">
        <f t="shared" si="1259"/>
        <v>46000</v>
      </c>
      <c r="DQ280" s="227">
        <v>5000</v>
      </c>
      <c r="DR280" s="15">
        <f t="shared" si="1260"/>
        <v>51000</v>
      </c>
      <c r="DT280" s="15"/>
      <c r="DU280" s="15">
        <f t="shared" si="1261"/>
        <v>51000</v>
      </c>
      <c r="DW280" s="15"/>
      <c r="DX280" s="15">
        <f t="shared" si="1262"/>
        <v>51000</v>
      </c>
      <c r="DZ280" s="227">
        <v>500</v>
      </c>
      <c r="EA280" s="15">
        <f t="shared" si="1263"/>
        <v>51500</v>
      </c>
      <c r="EC280" s="227">
        <v>8500</v>
      </c>
      <c r="ED280" s="15">
        <f t="shared" si="1264"/>
        <v>60000</v>
      </c>
      <c r="EF280" s="15"/>
      <c r="EG280" s="15">
        <f t="shared" si="1287"/>
        <v>60000</v>
      </c>
      <c r="EI280" s="15">
        <v>56015.9</v>
      </c>
      <c r="EK280" s="15">
        <v>29000</v>
      </c>
      <c r="EM280" s="15"/>
      <c r="EN280" s="15">
        <f t="shared" si="1290"/>
        <v>29000</v>
      </c>
      <c r="EP280" s="15"/>
      <c r="EQ280" s="15">
        <f t="shared" si="1291"/>
        <v>29000</v>
      </c>
      <c r="ES280" s="15"/>
      <c r="ET280" s="15">
        <f t="shared" si="1292"/>
        <v>29000</v>
      </c>
      <c r="EW280" s="15">
        <f t="shared" si="1293"/>
        <v>29000</v>
      </c>
      <c r="EZ280" s="15">
        <f t="shared" si="1294"/>
        <v>29000</v>
      </c>
      <c r="FC280" s="15">
        <f t="shared" si="1295"/>
        <v>29000</v>
      </c>
      <c r="FF280" s="15">
        <f t="shared" si="1296"/>
        <v>29000</v>
      </c>
      <c r="FI280" s="15">
        <f t="shared" si="1297"/>
        <v>29000</v>
      </c>
      <c r="FL280" s="15">
        <f t="shared" si="1298"/>
        <v>29000</v>
      </c>
      <c r="FO280" s="15">
        <f t="shared" si="1299"/>
        <v>29000</v>
      </c>
      <c r="FR280" s="15">
        <v>29000</v>
      </c>
      <c r="FT280" s="15">
        <v>26117.08</v>
      </c>
      <c r="FV280" s="15">
        <v>27000</v>
      </c>
      <c r="FW280" s="235">
        <f t="shared" si="1229"/>
        <v>1.0338062294866042</v>
      </c>
    </row>
    <row r="281" spans="1:179" outlineLevel="1">
      <c r="A281" s="1" t="s">
        <v>76</v>
      </c>
      <c r="B281" s="1" t="s">
        <v>115</v>
      </c>
      <c r="C281" s="4" t="s">
        <v>116</v>
      </c>
      <c r="D281" s="43">
        <v>130000</v>
      </c>
      <c r="E281" s="34">
        <v>119.71</v>
      </c>
      <c r="F281" s="43">
        <v>230000</v>
      </c>
      <c r="G281" s="34">
        <v>67.66</v>
      </c>
      <c r="H281" s="46">
        <v>155628.76</v>
      </c>
      <c r="I281" s="36">
        <v>190000</v>
      </c>
      <c r="J281" s="14"/>
      <c r="L281" s="118">
        <v>150000</v>
      </c>
      <c r="M281" s="17">
        <f t="shared" si="1230"/>
        <v>-0.34782608695652173</v>
      </c>
      <c r="N281" s="17">
        <f t="shared" si="1227"/>
        <v>-0.21052631578947367</v>
      </c>
      <c r="Q281" s="118">
        <v>90700</v>
      </c>
      <c r="R281" s="15">
        <v>68676</v>
      </c>
      <c r="S281" s="118">
        <v>100500</v>
      </c>
      <c r="T281" s="15">
        <f t="shared" si="1300"/>
        <v>9800</v>
      </c>
      <c r="U281" s="16">
        <f t="shared" si="1301"/>
        <v>0.10804851157662632</v>
      </c>
      <c r="V281" s="141">
        <v>89000</v>
      </c>
      <c r="W281">
        <v>-5700</v>
      </c>
      <c r="X281">
        <v>-50000</v>
      </c>
      <c r="Y281" s="118">
        <v>100500</v>
      </c>
      <c r="AA281" s="118">
        <v>130000</v>
      </c>
      <c r="AB281" s="185">
        <f t="shared" si="1233"/>
        <v>29500</v>
      </c>
      <c r="AC281" s="187">
        <f t="shared" si="1234"/>
        <v>29500</v>
      </c>
      <c r="AD281" s="187"/>
      <c r="AE281" s="118">
        <v>130000</v>
      </c>
      <c r="AF281" s="182"/>
      <c r="AH281" s="15">
        <v>114240.16</v>
      </c>
      <c r="AI281" s="17">
        <f t="shared" si="1288"/>
        <v>0.87877046153846161</v>
      </c>
      <c r="AK281" s="118">
        <v>120000</v>
      </c>
      <c r="AR281" s="15"/>
      <c r="AS281" s="15">
        <f t="shared" si="1235"/>
        <v>120000</v>
      </c>
      <c r="AV281" s="15">
        <f t="shared" si="1236"/>
        <v>120000</v>
      </c>
      <c r="AX281" s="15"/>
      <c r="AY281" s="15">
        <f t="shared" si="1237"/>
        <v>120000</v>
      </c>
      <c r="BB281" s="15">
        <f t="shared" si="1238"/>
        <v>120000</v>
      </c>
      <c r="BD281" s="15">
        <v>120000</v>
      </c>
      <c r="BE281" s="15">
        <f t="shared" si="1239"/>
        <v>240000</v>
      </c>
      <c r="BG281" s="15">
        <v>-134200</v>
      </c>
      <c r="BH281" s="15">
        <f t="shared" si="1240"/>
        <v>105800</v>
      </c>
      <c r="BJ281" s="15">
        <v>78030.95</v>
      </c>
      <c r="BK281" s="235">
        <f t="shared" si="1289"/>
        <v>0.73753260869565218</v>
      </c>
      <c r="BM281" s="15">
        <v>70000</v>
      </c>
      <c r="BN281" s="235">
        <f t="shared" si="1284"/>
        <v>0.89707994071583141</v>
      </c>
      <c r="BO281" s="235">
        <f t="shared" si="1285"/>
        <v>0.66162570888468808</v>
      </c>
      <c r="BQ281" s="15"/>
      <c r="BR281" s="15">
        <f t="shared" si="1286"/>
        <v>70000</v>
      </c>
      <c r="BT281" s="15"/>
      <c r="BU281" s="15">
        <f t="shared" si="1245"/>
        <v>70000</v>
      </c>
      <c r="BW281" s="15">
        <v>20000</v>
      </c>
      <c r="BX281" s="15">
        <f t="shared" si="1246"/>
        <v>90000</v>
      </c>
      <c r="BZ281" s="15"/>
      <c r="CA281" s="15">
        <f t="shared" si="1247"/>
        <v>90000</v>
      </c>
      <c r="CC281" s="15"/>
      <c r="CD281" s="15">
        <f t="shared" si="1248"/>
        <v>90000</v>
      </c>
      <c r="CF281" s="15">
        <v>10000</v>
      </c>
      <c r="CG281" s="15">
        <f t="shared" si="1249"/>
        <v>100000</v>
      </c>
      <c r="CH281">
        <v>16832.72</v>
      </c>
      <c r="CI281" s="227">
        <v>30000</v>
      </c>
      <c r="CJ281" s="15">
        <f t="shared" si="1250"/>
        <v>130000</v>
      </c>
      <c r="CL281" s="15">
        <v>-1000</v>
      </c>
      <c r="CM281" s="15">
        <f t="shared" si="1251"/>
        <v>129000</v>
      </c>
      <c r="CP281" s="15">
        <f t="shared" si="1252"/>
        <v>129000</v>
      </c>
      <c r="CS281" s="15">
        <f t="shared" si="1253"/>
        <v>129000</v>
      </c>
      <c r="CV281" s="15">
        <f t="shared" si="1254"/>
        <v>129000</v>
      </c>
      <c r="CY281" s="15">
        <f t="shared" si="1255"/>
        <v>129000</v>
      </c>
      <c r="DA281" s="15">
        <v>126778.92</v>
      </c>
      <c r="DC281" s="15">
        <v>100000</v>
      </c>
      <c r="DE281" s="15"/>
      <c r="DF281" s="15">
        <f t="shared" si="1256"/>
        <v>100000</v>
      </c>
      <c r="DH281" s="15"/>
      <c r="DI281" s="15">
        <f t="shared" si="1257"/>
        <v>100000</v>
      </c>
      <c r="DK281" s="15"/>
      <c r="DL281" s="15">
        <f t="shared" si="1258"/>
        <v>100000</v>
      </c>
      <c r="DN281" s="15"/>
      <c r="DO281" s="15">
        <f t="shared" si="1259"/>
        <v>100000</v>
      </c>
      <c r="DQ281" s="15"/>
      <c r="DR281" s="15">
        <f t="shared" si="1260"/>
        <v>100000</v>
      </c>
      <c r="DT281" s="15"/>
      <c r="DU281" s="15">
        <f t="shared" si="1261"/>
        <v>100000</v>
      </c>
      <c r="DW281" s="15"/>
      <c r="DX281" s="15">
        <f t="shared" si="1262"/>
        <v>100000</v>
      </c>
      <c r="DZ281" s="15"/>
      <c r="EA281" s="15">
        <f t="shared" si="1263"/>
        <v>100000</v>
      </c>
      <c r="EC281" s="15"/>
      <c r="ED281" s="15">
        <f t="shared" si="1264"/>
        <v>100000</v>
      </c>
      <c r="EF281" s="15"/>
      <c r="EG281" s="15">
        <f t="shared" si="1287"/>
        <v>100000</v>
      </c>
      <c r="EI281" s="15">
        <v>93111.95</v>
      </c>
      <c r="EK281" s="15">
        <v>73000</v>
      </c>
      <c r="EM281" s="15"/>
      <c r="EN281" s="15">
        <f t="shared" si="1290"/>
        <v>73000</v>
      </c>
      <c r="EP281" s="15"/>
      <c r="EQ281" s="15">
        <f t="shared" si="1291"/>
        <v>73000</v>
      </c>
      <c r="ES281" s="15"/>
      <c r="ET281" s="15">
        <f t="shared" si="1292"/>
        <v>73000</v>
      </c>
      <c r="EW281" s="15">
        <f t="shared" si="1293"/>
        <v>73000</v>
      </c>
      <c r="EZ281" s="15">
        <f t="shared" si="1294"/>
        <v>73000</v>
      </c>
      <c r="FC281" s="15">
        <f t="shared" si="1295"/>
        <v>73000</v>
      </c>
      <c r="FF281" s="15">
        <f t="shared" si="1296"/>
        <v>73000</v>
      </c>
      <c r="FI281" s="15">
        <f t="shared" si="1297"/>
        <v>73000</v>
      </c>
      <c r="FL281" s="15">
        <f t="shared" si="1298"/>
        <v>73000</v>
      </c>
      <c r="FO281" s="15">
        <f t="shared" si="1299"/>
        <v>73000</v>
      </c>
      <c r="FQ281" s="227">
        <v>1430</v>
      </c>
      <c r="FR281" s="15">
        <v>74430</v>
      </c>
      <c r="FT281" s="15">
        <v>74416.12</v>
      </c>
      <c r="FV281" s="15">
        <v>75000</v>
      </c>
      <c r="FW281" s="235">
        <f t="shared" si="1229"/>
        <v>1.0078461494633153</v>
      </c>
    </row>
    <row r="282" spans="1:179" outlineLevel="1">
      <c r="A282" s="1" t="s">
        <v>76</v>
      </c>
      <c r="B282" s="1" t="s">
        <v>117</v>
      </c>
      <c r="C282" s="4" t="s">
        <v>118</v>
      </c>
      <c r="D282" s="43">
        <v>180000</v>
      </c>
      <c r="E282" s="34">
        <v>0.11</v>
      </c>
      <c r="F282" s="43">
        <v>180000</v>
      </c>
      <c r="G282" s="34">
        <v>0.11</v>
      </c>
      <c r="H282" s="46">
        <v>199</v>
      </c>
      <c r="I282" s="36">
        <v>199</v>
      </c>
      <c r="J282" s="14"/>
      <c r="L282" s="118">
        <v>10000</v>
      </c>
      <c r="M282" s="17">
        <f t="shared" si="1230"/>
        <v>-0.94444444444444442</v>
      </c>
      <c r="N282" s="17">
        <f t="shared" si="1227"/>
        <v>49.251256281407038</v>
      </c>
      <c r="Q282" s="118">
        <v>24600</v>
      </c>
      <c r="R282" s="15">
        <v>21766</v>
      </c>
      <c r="S282" s="118">
        <v>50000</v>
      </c>
      <c r="T282" s="15">
        <f t="shared" si="1300"/>
        <v>25400</v>
      </c>
      <c r="U282" s="16">
        <f t="shared" si="1301"/>
        <v>1.0325203252032522</v>
      </c>
      <c r="V282" s="140">
        <v>30000</v>
      </c>
      <c r="W282">
        <v>20000</v>
      </c>
      <c r="Y282" s="118">
        <v>50000</v>
      </c>
      <c r="AA282" s="118">
        <v>60000</v>
      </c>
      <c r="AB282" s="185">
        <f t="shared" si="1233"/>
        <v>10000</v>
      </c>
      <c r="AC282" s="187">
        <f t="shared" si="1234"/>
        <v>10000</v>
      </c>
      <c r="AD282" s="187"/>
      <c r="AE282" s="118">
        <v>60000</v>
      </c>
      <c r="AF282" s="182"/>
      <c r="AH282" s="15">
        <v>55195.06</v>
      </c>
      <c r="AI282" s="17">
        <f t="shared" si="1288"/>
        <v>0.91991766666666663</v>
      </c>
      <c r="AK282" s="118">
        <v>60500</v>
      </c>
      <c r="AR282" s="15"/>
      <c r="AS282" s="15">
        <f t="shared" si="1235"/>
        <v>60500</v>
      </c>
      <c r="AV282" s="15">
        <f t="shared" si="1236"/>
        <v>60500</v>
      </c>
      <c r="AX282" s="15"/>
      <c r="AY282" s="15">
        <f t="shared" si="1237"/>
        <v>60500</v>
      </c>
      <c r="BB282" s="15">
        <f t="shared" si="1238"/>
        <v>60500</v>
      </c>
      <c r="BD282" s="15">
        <v>-15000</v>
      </c>
      <c r="BE282" s="15">
        <f t="shared" si="1239"/>
        <v>45500</v>
      </c>
      <c r="BG282" s="15"/>
      <c r="BH282" s="15">
        <f t="shared" si="1240"/>
        <v>45500</v>
      </c>
      <c r="BJ282" s="15">
        <v>45051.06</v>
      </c>
      <c r="BK282" s="235">
        <f t="shared" si="1289"/>
        <v>0.99013318681318674</v>
      </c>
      <c r="BM282" s="15">
        <v>40000</v>
      </c>
      <c r="BN282" s="235">
        <f t="shared" si="1284"/>
        <v>0.88788143941563202</v>
      </c>
      <c r="BO282" s="235">
        <f t="shared" si="1285"/>
        <v>0.87912087912087911</v>
      </c>
      <c r="BQ282" s="15"/>
      <c r="BR282" s="15">
        <f t="shared" ref="BR282:BR288" si="1308">BM282+BQ282</f>
        <v>40000</v>
      </c>
      <c r="BT282" s="15"/>
      <c r="BU282" s="15">
        <f t="shared" si="1245"/>
        <v>40000</v>
      </c>
      <c r="BW282" s="15"/>
      <c r="BX282" s="15">
        <f t="shared" si="1246"/>
        <v>40000</v>
      </c>
      <c r="BZ282" s="15"/>
      <c r="CA282" s="15">
        <f t="shared" si="1247"/>
        <v>40000</v>
      </c>
      <c r="CC282" s="15"/>
      <c r="CD282" s="15">
        <f t="shared" si="1248"/>
        <v>40000</v>
      </c>
      <c r="CF282" s="15"/>
      <c r="CG282" s="15">
        <f t="shared" si="1249"/>
        <v>40000</v>
      </c>
      <c r="CI282" s="15"/>
      <c r="CJ282" s="15">
        <f t="shared" si="1250"/>
        <v>40000</v>
      </c>
      <c r="CM282" s="15">
        <f t="shared" si="1251"/>
        <v>40000</v>
      </c>
      <c r="CP282" s="15">
        <f t="shared" si="1252"/>
        <v>40000</v>
      </c>
      <c r="CS282" s="15">
        <f t="shared" si="1253"/>
        <v>40000</v>
      </c>
      <c r="CU282" s="227">
        <v>12000</v>
      </c>
      <c r="CV282" s="15">
        <f t="shared" si="1254"/>
        <v>52000</v>
      </c>
      <c r="CX282" s="227"/>
      <c r="CY282" s="15">
        <f t="shared" si="1255"/>
        <v>52000</v>
      </c>
      <c r="DA282" s="15">
        <v>51777.52</v>
      </c>
      <c r="DC282" s="15">
        <v>50000</v>
      </c>
      <c r="DE282" s="15"/>
      <c r="DF282" s="15">
        <f t="shared" si="1256"/>
        <v>50000</v>
      </c>
      <c r="DH282" s="15"/>
      <c r="DI282" s="15">
        <f t="shared" si="1257"/>
        <v>50000</v>
      </c>
      <c r="DK282" s="15"/>
      <c r="DL282" s="15">
        <f t="shared" si="1258"/>
        <v>50000</v>
      </c>
      <c r="DN282" s="227">
        <v>-8000</v>
      </c>
      <c r="DO282" s="15">
        <f t="shared" si="1259"/>
        <v>42000</v>
      </c>
      <c r="DQ282" s="15"/>
      <c r="DR282" s="15">
        <f t="shared" si="1260"/>
        <v>42000</v>
      </c>
      <c r="DT282" s="15"/>
      <c r="DU282" s="15">
        <f t="shared" si="1261"/>
        <v>42000</v>
      </c>
      <c r="DW282" s="15"/>
      <c r="DX282" s="15">
        <f t="shared" si="1262"/>
        <v>42000</v>
      </c>
      <c r="DZ282" s="227">
        <v>2000</v>
      </c>
      <c r="EA282" s="15">
        <f t="shared" si="1263"/>
        <v>44000</v>
      </c>
      <c r="EC282" s="227">
        <v>15000</v>
      </c>
      <c r="ED282" s="15">
        <f t="shared" si="1264"/>
        <v>59000</v>
      </c>
      <c r="EF282" s="227">
        <v>22980</v>
      </c>
      <c r="EG282" s="15">
        <f t="shared" si="1287"/>
        <v>81980</v>
      </c>
      <c r="EI282" s="15">
        <v>81367.87</v>
      </c>
      <c r="EK282" s="15">
        <v>60000</v>
      </c>
      <c r="EM282" s="15"/>
      <c r="EN282" s="15">
        <f t="shared" si="1290"/>
        <v>60000</v>
      </c>
      <c r="EP282" s="15"/>
      <c r="EQ282" s="15">
        <f t="shared" si="1291"/>
        <v>60000</v>
      </c>
      <c r="ES282" s="15"/>
      <c r="ET282" s="15">
        <f t="shared" si="1292"/>
        <v>60000</v>
      </c>
      <c r="EW282" s="15">
        <f t="shared" si="1293"/>
        <v>60000</v>
      </c>
      <c r="EY282" s="227">
        <v>-10200</v>
      </c>
      <c r="EZ282" s="15">
        <f t="shared" si="1294"/>
        <v>49800</v>
      </c>
      <c r="FB282" s="227">
        <v>-15000</v>
      </c>
      <c r="FC282" s="15">
        <f t="shared" si="1295"/>
        <v>34800</v>
      </c>
      <c r="FF282" s="15">
        <f t="shared" si="1296"/>
        <v>34800</v>
      </c>
      <c r="FI282" s="15">
        <f t="shared" si="1297"/>
        <v>34800</v>
      </c>
      <c r="FK282" s="227">
        <v>38000</v>
      </c>
      <c r="FL282" s="15">
        <f t="shared" si="1298"/>
        <v>72800</v>
      </c>
      <c r="FO282" s="15">
        <f t="shared" si="1299"/>
        <v>72800</v>
      </c>
      <c r="FQ282" s="227">
        <v>560</v>
      </c>
      <c r="FR282" s="15">
        <v>73360</v>
      </c>
      <c r="FT282" s="15">
        <v>73355.58</v>
      </c>
      <c r="FV282" s="15">
        <v>75000</v>
      </c>
      <c r="FW282" s="235">
        <f t="shared" si="1229"/>
        <v>1.0224171085553411</v>
      </c>
    </row>
    <row r="283" spans="1:179" outlineLevel="1">
      <c r="A283" s="1" t="s">
        <v>76</v>
      </c>
      <c r="B283" s="1" t="s">
        <v>231</v>
      </c>
      <c r="C283" s="4" t="s">
        <v>232</v>
      </c>
      <c r="D283" s="43">
        <v>55200</v>
      </c>
      <c r="E283" s="34">
        <v>29.93</v>
      </c>
      <c r="F283" s="43">
        <v>55200</v>
      </c>
      <c r="G283" s="34">
        <v>29.93</v>
      </c>
      <c r="H283" s="46">
        <v>16523</v>
      </c>
      <c r="I283" s="15">
        <v>32000</v>
      </c>
      <c r="K283" t="s">
        <v>332</v>
      </c>
      <c r="L283" s="118">
        <v>20000</v>
      </c>
      <c r="M283" s="17">
        <f t="shared" si="1230"/>
        <v>-0.6376811594202898</v>
      </c>
      <c r="N283" s="17">
        <f t="shared" si="1227"/>
        <v>-0.375</v>
      </c>
      <c r="Q283" s="118">
        <v>20000</v>
      </c>
      <c r="R283" s="15">
        <v>6643</v>
      </c>
      <c r="S283" s="118">
        <v>17000</v>
      </c>
      <c r="T283" s="15">
        <f t="shared" si="1300"/>
        <v>-3000</v>
      </c>
      <c r="U283" s="16">
        <f t="shared" si="1301"/>
        <v>-0.15000000000000002</v>
      </c>
      <c r="Y283" s="118">
        <v>17000</v>
      </c>
      <c r="AA283" s="118">
        <v>29000</v>
      </c>
      <c r="AB283" s="185">
        <f t="shared" si="1233"/>
        <v>12000</v>
      </c>
      <c r="AC283" s="187">
        <f t="shared" si="1234"/>
        <v>12000</v>
      </c>
      <c r="AD283" s="187"/>
      <c r="AE283" s="118">
        <v>29000</v>
      </c>
      <c r="AF283" s="182"/>
      <c r="AH283" s="15">
        <v>28695</v>
      </c>
      <c r="AI283" s="17">
        <f t="shared" si="1288"/>
        <v>0.98948275862068968</v>
      </c>
      <c r="AK283" s="118">
        <v>13000</v>
      </c>
      <c r="AP283" s="220">
        <v>13000</v>
      </c>
      <c r="AR283" s="15"/>
      <c r="AS283" s="15">
        <f t="shared" si="1235"/>
        <v>13000</v>
      </c>
      <c r="AV283" s="15">
        <f t="shared" si="1236"/>
        <v>13000</v>
      </c>
      <c r="AX283" s="15"/>
      <c r="AY283" s="15">
        <f t="shared" si="1237"/>
        <v>13000</v>
      </c>
      <c r="BA283" s="227">
        <v>2000</v>
      </c>
      <c r="BB283" s="15">
        <f t="shared" si="1238"/>
        <v>15000</v>
      </c>
      <c r="BD283" s="15"/>
      <c r="BE283" s="15">
        <f t="shared" si="1239"/>
        <v>15000</v>
      </c>
      <c r="BG283" s="15"/>
      <c r="BH283" s="15">
        <f t="shared" si="1240"/>
        <v>15000</v>
      </c>
      <c r="BJ283" s="15">
        <v>14038.9</v>
      </c>
      <c r="BK283" s="235">
        <f t="shared" si="1289"/>
        <v>0.93592666666666668</v>
      </c>
      <c r="BM283" s="15">
        <v>15000</v>
      </c>
      <c r="BN283" s="235">
        <f t="shared" si="1284"/>
        <v>1.0684597796123627</v>
      </c>
      <c r="BO283" s="235">
        <f t="shared" si="1285"/>
        <v>1</v>
      </c>
      <c r="BQ283" s="15"/>
      <c r="BR283" s="15">
        <f t="shared" si="1308"/>
        <v>15000</v>
      </c>
      <c r="BT283" s="15"/>
      <c r="BU283" s="15">
        <f t="shared" si="1245"/>
        <v>15000</v>
      </c>
      <c r="BW283" s="15"/>
      <c r="BX283" s="15">
        <f t="shared" si="1246"/>
        <v>15000</v>
      </c>
      <c r="BZ283" s="15"/>
      <c r="CA283" s="15">
        <f t="shared" si="1247"/>
        <v>15000</v>
      </c>
      <c r="CC283" s="15"/>
      <c r="CD283" s="15">
        <f t="shared" si="1248"/>
        <v>15000</v>
      </c>
      <c r="CF283" s="15"/>
      <c r="CG283" s="15">
        <f t="shared" si="1249"/>
        <v>15000</v>
      </c>
      <c r="CI283" s="227">
        <v>-5000</v>
      </c>
      <c r="CJ283" s="15">
        <f t="shared" si="1250"/>
        <v>10000</v>
      </c>
      <c r="CM283" s="15">
        <f t="shared" si="1251"/>
        <v>10000</v>
      </c>
      <c r="CP283" s="15">
        <f t="shared" si="1252"/>
        <v>10000</v>
      </c>
      <c r="CS283" s="15">
        <f t="shared" si="1253"/>
        <v>10000</v>
      </c>
      <c r="CU283" s="227">
        <v>-10000</v>
      </c>
      <c r="CV283" s="15">
        <f t="shared" si="1254"/>
        <v>0</v>
      </c>
      <c r="CX283" s="227"/>
      <c r="CY283" s="15">
        <f t="shared" si="1255"/>
        <v>0</v>
      </c>
      <c r="DA283" s="15">
        <v>0</v>
      </c>
      <c r="DC283" s="15">
        <v>0</v>
      </c>
      <c r="DE283" s="15"/>
      <c r="DF283" s="15">
        <f t="shared" si="1256"/>
        <v>0</v>
      </c>
      <c r="DH283" s="15"/>
      <c r="DI283" s="15">
        <f t="shared" si="1257"/>
        <v>0</v>
      </c>
      <c r="DK283" s="15"/>
      <c r="DL283" s="15">
        <f t="shared" si="1258"/>
        <v>0</v>
      </c>
      <c r="DN283" s="15"/>
      <c r="DO283" s="15">
        <f t="shared" si="1259"/>
        <v>0</v>
      </c>
      <c r="DQ283" s="15"/>
      <c r="DR283" s="15">
        <f t="shared" si="1260"/>
        <v>0</v>
      </c>
      <c r="DT283" s="15"/>
      <c r="DU283" s="15">
        <f t="shared" si="1261"/>
        <v>0</v>
      </c>
      <c r="DW283" s="227">
        <v>2100</v>
      </c>
      <c r="DX283" s="15">
        <f t="shared" si="1262"/>
        <v>2100</v>
      </c>
      <c r="DZ283" s="15"/>
      <c r="EA283" s="15">
        <f t="shared" si="1263"/>
        <v>2100</v>
      </c>
      <c r="EC283" s="15"/>
      <c r="ED283" s="15">
        <f t="shared" si="1264"/>
        <v>2100</v>
      </c>
      <c r="EF283" s="15"/>
      <c r="EG283" s="15">
        <f t="shared" si="1287"/>
        <v>2100</v>
      </c>
      <c r="EI283" s="15">
        <v>2007</v>
      </c>
      <c r="EK283" s="15">
        <v>0</v>
      </c>
      <c r="EM283" s="15"/>
      <c r="EN283" s="15">
        <f t="shared" si="1290"/>
        <v>0</v>
      </c>
      <c r="EP283" s="15"/>
      <c r="EQ283" s="15">
        <f t="shared" si="1291"/>
        <v>0</v>
      </c>
      <c r="ES283" s="15"/>
      <c r="ET283" s="15">
        <f t="shared" si="1292"/>
        <v>0</v>
      </c>
      <c r="EW283" s="15">
        <f t="shared" si="1293"/>
        <v>0</v>
      </c>
      <c r="EZ283" s="15">
        <f t="shared" si="1294"/>
        <v>0</v>
      </c>
      <c r="FC283" s="15">
        <f t="shared" si="1295"/>
        <v>0</v>
      </c>
      <c r="FF283" s="15">
        <f t="shared" si="1296"/>
        <v>0</v>
      </c>
      <c r="FI283" s="15">
        <f t="shared" si="1297"/>
        <v>0</v>
      </c>
      <c r="FL283" s="15">
        <f t="shared" si="1298"/>
        <v>0</v>
      </c>
      <c r="FO283" s="15">
        <f t="shared" si="1299"/>
        <v>0</v>
      </c>
      <c r="FR283" s="15">
        <v>0</v>
      </c>
      <c r="FW283" s="235" t="e">
        <f t="shared" si="1229"/>
        <v>#DIV/0!</v>
      </c>
    </row>
    <row r="284" spans="1:179" outlineLevel="1">
      <c r="A284" s="1" t="s">
        <v>76</v>
      </c>
      <c r="B284" s="1" t="s">
        <v>206</v>
      </c>
      <c r="C284" s="4" t="s">
        <v>207</v>
      </c>
      <c r="D284" s="43">
        <v>15000</v>
      </c>
      <c r="E284" s="34">
        <v>121.93</v>
      </c>
      <c r="F284" s="43">
        <v>20000</v>
      </c>
      <c r="G284" s="34">
        <v>91.45</v>
      </c>
      <c r="H284" s="46">
        <v>18289</v>
      </c>
      <c r="I284" s="36">
        <v>20000</v>
      </c>
      <c r="J284" s="14"/>
      <c r="K284" t="s">
        <v>332</v>
      </c>
      <c r="L284" s="118">
        <v>22000</v>
      </c>
      <c r="M284" s="17">
        <f t="shared" si="1230"/>
        <v>0.10000000000000009</v>
      </c>
      <c r="N284" s="17">
        <f t="shared" si="1227"/>
        <v>0.10000000000000009</v>
      </c>
      <c r="Q284" s="118">
        <v>18410</v>
      </c>
      <c r="R284" s="15">
        <v>9324</v>
      </c>
      <c r="S284" s="118">
        <v>19000</v>
      </c>
      <c r="T284" s="15">
        <f t="shared" si="1300"/>
        <v>590</v>
      </c>
      <c r="U284" s="16">
        <f t="shared" si="1301"/>
        <v>3.2047800108636615E-2</v>
      </c>
      <c r="Y284" s="118">
        <v>19000</v>
      </c>
      <c r="AA284" s="118">
        <v>16500</v>
      </c>
      <c r="AB284" s="185">
        <f t="shared" si="1233"/>
        <v>-2500</v>
      </c>
      <c r="AC284" s="187">
        <f t="shared" si="1234"/>
        <v>-2500</v>
      </c>
      <c r="AD284" s="187"/>
      <c r="AE284" s="118">
        <v>16500</v>
      </c>
      <c r="AF284" s="182"/>
      <c r="AG284" t="s">
        <v>435</v>
      </c>
      <c r="AH284" s="15">
        <v>15149</v>
      </c>
      <c r="AI284" s="17">
        <f t="shared" si="1288"/>
        <v>0.91812121212121212</v>
      </c>
      <c r="AK284" s="118">
        <v>16000</v>
      </c>
      <c r="AR284" s="15"/>
      <c r="AS284" s="15">
        <f t="shared" si="1235"/>
        <v>16000</v>
      </c>
      <c r="AV284" s="15">
        <f t="shared" si="1236"/>
        <v>16000</v>
      </c>
      <c r="AX284" s="15"/>
      <c r="AY284" s="15">
        <f t="shared" si="1237"/>
        <v>16000</v>
      </c>
      <c r="BB284" s="15">
        <f t="shared" si="1238"/>
        <v>16000</v>
      </c>
      <c r="BD284" s="15">
        <v>-6000</v>
      </c>
      <c r="BE284" s="15">
        <f t="shared" si="1239"/>
        <v>10000</v>
      </c>
      <c r="BG284" s="15"/>
      <c r="BH284" s="15">
        <f t="shared" si="1240"/>
        <v>10000</v>
      </c>
      <c r="BJ284" s="15">
        <v>8691</v>
      </c>
      <c r="BK284" s="235">
        <f t="shared" si="1289"/>
        <v>0.86909999999999998</v>
      </c>
      <c r="BM284" s="15">
        <v>9000</v>
      </c>
      <c r="BN284" s="235">
        <f t="shared" si="1284"/>
        <v>1.0355540214014498</v>
      </c>
      <c r="BO284" s="235">
        <f t="shared" si="1285"/>
        <v>0.9</v>
      </c>
      <c r="BQ284" s="15"/>
      <c r="BR284" s="15">
        <f t="shared" si="1308"/>
        <v>9000</v>
      </c>
      <c r="BT284" s="15"/>
      <c r="BU284" s="15">
        <f t="shared" si="1245"/>
        <v>9000</v>
      </c>
      <c r="BW284" s="15">
        <v>6000</v>
      </c>
      <c r="BX284" s="15">
        <f t="shared" si="1246"/>
        <v>15000</v>
      </c>
      <c r="BZ284" s="15"/>
      <c r="CA284" s="15">
        <f t="shared" si="1247"/>
        <v>15000</v>
      </c>
      <c r="CC284" s="15"/>
      <c r="CD284" s="15">
        <f t="shared" si="1248"/>
        <v>15000</v>
      </c>
      <c r="CF284" s="15"/>
      <c r="CG284" s="15">
        <f t="shared" si="1249"/>
        <v>15000</v>
      </c>
      <c r="CI284" s="227">
        <v>5000</v>
      </c>
      <c r="CJ284" s="15">
        <f t="shared" si="1250"/>
        <v>20000</v>
      </c>
      <c r="CM284" s="15">
        <f t="shared" si="1251"/>
        <v>20000</v>
      </c>
      <c r="CP284" s="15">
        <f t="shared" si="1252"/>
        <v>20000</v>
      </c>
      <c r="CS284" s="15">
        <f t="shared" si="1253"/>
        <v>20000</v>
      </c>
      <c r="CV284" s="15">
        <f t="shared" si="1254"/>
        <v>20000</v>
      </c>
      <c r="CY284" s="15">
        <f t="shared" si="1255"/>
        <v>20000</v>
      </c>
      <c r="DA284" s="15">
        <v>18107</v>
      </c>
      <c r="DC284" s="15">
        <v>20000</v>
      </c>
      <c r="DE284" s="15"/>
      <c r="DF284" s="15">
        <f t="shared" si="1256"/>
        <v>20000</v>
      </c>
      <c r="DH284" s="15"/>
      <c r="DI284" s="15">
        <f t="shared" si="1257"/>
        <v>20000</v>
      </c>
      <c r="DK284" s="15"/>
      <c r="DL284" s="15">
        <f t="shared" si="1258"/>
        <v>20000</v>
      </c>
      <c r="DN284" s="15"/>
      <c r="DO284" s="15">
        <f t="shared" si="1259"/>
        <v>20000</v>
      </c>
      <c r="DQ284" s="15"/>
      <c r="DR284" s="15">
        <f t="shared" si="1260"/>
        <v>20000</v>
      </c>
      <c r="DT284" s="15"/>
      <c r="DU284" s="15">
        <f t="shared" si="1261"/>
        <v>20000</v>
      </c>
      <c r="DW284" s="15"/>
      <c r="DX284" s="15">
        <f t="shared" si="1262"/>
        <v>20000</v>
      </c>
      <c r="DZ284" s="15"/>
      <c r="EA284" s="15">
        <f t="shared" si="1263"/>
        <v>20000</v>
      </c>
      <c r="EC284" s="227">
        <v>-5000</v>
      </c>
      <c r="ED284" s="15">
        <f t="shared" si="1264"/>
        <v>15000</v>
      </c>
      <c r="EF284" s="15"/>
      <c r="EG284" s="15">
        <f t="shared" si="1287"/>
        <v>15000</v>
      </c>
      <c r="EI284" s="15">
        <v>14328</v>
      </c>
      <c r="EK284" s="15">
        <v>15000</v>
      </c>
      <c r="EM284" s="15"/>
      <c r="EN284" s="15">
        <f t="shared" si="1290"/>
        <v>15000</v>
      </c>
      <c r="EP284" s="15"/>
      <c r="EQ284" s="15">
        <f t="shared" si="1291"/>
        <v>15000</v>
      </c>
      <c r="ES284" s="15"/>
      <c r="ET284" s="15">
        <f t="shared" si="1292"/>
        <v>15000</v>
      </c>
      <c r="EW284" s="15">
        <f t="shared" si="1293"/>
        <v>15000</v>
      </c>
      <c r="EZ284" s="15">
        <f t="shared" si="1294"/>
        <v>15000</v>
      </c>
      <c r="FC284" s="15">
        <f t="shared" si="1295"/>
        <v>15000</v>
      </c>
      <c r="FF284" s="15">
        <f t="shared" si="1296"/>
        <v>15000</v>
      </c>
      <c r="FI284" s="15">
        <f t="shared" si="1297"/>
        <v>15000</v>
      </c>
      <c r="FL284" s="15">
        <f t="shared" si="1298"/>
        <v>15000</v>
      </c>
      <c r="FO284" s="15">
        <f t="shared" si="1299"/>
        <v>15000</v>
      </c>
      <c r="FR284" s="15">
        <v>15000</v>
      </c>
      <c r="FT284" s="15">
        <v>14881.6</v>
      </c>
      <c r="FV284" s="15">
        <v>15000</v>
      </c>
      <c r="FW284" s="235">
        <f t="shared" si="1229"/>
        <v>1.0079561337490592</v>
      </c>
    </row>
    <row r="285" spans="1:179" outlineLevel="1">
      <c r="A285" s="1" t="s">
        <v>76</v>
      </c>
      <c r="B285" s="1" t="s">
        <v>148</v>
      </c>
      <c r="C285" s="4" t="s">
        <v>149</v>
      </c>
      <c r="D285" s="43">
        <v>3000</v>
      </c>
      <c r="E285" s="34">
        <v>116.43</v>
      </c>
      <c r="F285" s="43">
        <v>3000</v>
      </c>
      <c r="G285" s="34">
        <v>116.43</v>
      </c>
      <c r="H285" s="46">
        <v>3493</v>
      </c>
      <c r="I285" s="36">
        <v>4000</v>
      </c>
      <c r="J285" s="14"/>
      <c r="L285" s="118">
        <v>4000</v>
      </c>
      <c r="M285" s="17">
        <f t="shared" si="1230"/>
        <v>0.33333333333333326</v>
      </c>
      <c r="N285" s="17">
        <f t="shared" si="1227"/>
        <v>0</v>
      </c>
      <c r="Q285" s="118">
        <v>4000</v>
      </c>
      <c r="R285" s="15">
        <v>2789</v>
      </c>
      <c r="S285" s="118">
        <v>7000</v>
      </c>
      <c r="T285" s="15">
        <f t="shared" si="1300"/>
        <v>3000</v>
      </c>
      <c r="U285" s="16">
        <f t="shared" si="1301"/>
        <v>0.75</v>
      </c>
      <c r="Y285" s="118">
        <v>7000</v>
      </c>
      <c r="AA285" s="118">
        <v>8000</v>
      </c>
      <c r="AB285" s="185">
        <f t="shared" si="1233"/>
        <v>1000</v>
      </c>
      <c r="AC285" s="187">
        <f t="shared" si="1234"/>
        <v>1000</v>
      </c>
      <c r="AD285" s="187"/>
      <c r="AE285" s="118">
        <v>8000</v>
      </c>
      <c r="AF285" s="182"/>
      <c r="AH285" s="15">
        <v>5038</v>
      </c>
      <c r="AI285" s="17">
        <f t="shared" si="1288"/>
        <v>0.62975000000000003</v>
      </c>
      <c r="AK285" s="118">
        <v>6000</v>
      </c>
      <c r="AR285" s="15"/>
      <c r="AS285" s="15">
        <f t="shared" si="1235"/>
        <v>6000</v>
      </c>
      <c r="AV285" s="15">
        <f t="shared" si="1236"/>
        <v>6000</v>
      </c>
      <c r="AX285" s="15"/>
      <c r="AY285" s="15">
        <f t="shared" si="1237"/>
        <v>6000</v>
      </c>
      <c r="BB285" s="15">
        <f t="shared" si="1238"/>
        <v>6000</v>
      </c>
      <c r="BD285" s="15"/>
      <c r="BE285" s="15">
        <f t="shared" si="1239"/>
        <v>6000</v>
      </c>
      <c r="BG285" s="15"/>
      <c r="BH285" s="15">
        <f t="shared" si="1240"/>
        <v>6000</v>
      </c>
      <c r="BJ285" s="15">
        <v>3598.4</v>
      </c>
      <c r="BK285" s="235">
        <f t="shared" si="1289"/>
        <v>0.59973333333333334</v>
      </c>
      <c r="BM285" s="15">
        <v>5000</v>
      </c>
      <c r="BN285" s="235">
        <f t="shared" si="1284"/>
        <v>1.3895064473099155</v>
      </c>
      <c r="BO285" s="235">
        <f t="shared" si="1285"/>
        <v>0.83333333333333337</v>
      </c>
      <c r="BQ285" s="15"/>
      <c r="BR285" s="15">
        <f t="shared" si="1308"/>
        <v>5000</v>
      </c>
      <c r="BT285" s="15"/>
      <c r="BU285" s="15">
        <f t="shared" si="1245"/>
        <v>5000</v>
      </c>
      <c r="BW285" s="15">
        <v>4000</v>
      </c>
      <c r="BX285" s="15">
        <f t="shared" si="1246"/>
        <v>9000</v>
      </c>
      <c r="BZ285" s="15"/>
      <c r="CA285" s="15">
        <f t="shared" si="1247"/>
        <v>9000</v>
      </c>
      <c r="CC285" s="15"/>
      <c r="CD285" s="15">
        <f t="shared" si="1248"/>
        <v>9000</v>
      </c>
      <c r="CF285" s="15">
        <v>10000</v>
      </c>
      <c r="CG285" s="15">
        <f t="shared" si="1249"/>
        <v>19000</v>
      </c>
      <c r="CI285" s="15"/>
      <c r="CJ285" s="15">
        <f t="shared" si="1250"/>
        <v>19000</v>
      </c>
      <c r="CM285" s="15">
        <f t="shared" si="1251"/>
        <v>19000</v>
      </c>
      <c r="CP285" s="15">
        <f t="shared" si="1252"/>
        <v>19000</v>
      </c>
      <c r="CS285" s="15">
        <f t="shared" si="1253"/>
        <v>19000</v>
      </c>
      <c r="CU285" s="227">
        <v>-2000</v>
      </c>
      <c r="CV285" s="15">
        <f t="shared" si="1254"/>
        <v>17000</v>
      </c>
      <c r="CX285" s="227"/>
      <c r="CY285" s="15">
        <f t="shared" si="1255"/>
        <v>17000</v>
      </c>
      <c r="DA285" s="15">
        <v>16512</v>
      </c>
      <c r="DC285" s="15">
        <v>20000</v>
      </c>
      <c r="DE285" s="15"/>
      <c r="DF285" s="15">
        <f t="shared" si="1256"/>
        <v>20000</v>
      </c>
      <c r="DH285" s="15"/>
      <c r="DI285" s="15">
        <f t="shared" si="1257"/>
        <v>20000</v>
      </c>
      <c r="DK285" s="15"/>
      <c r="DL285" s="15">
        <f t="shared" si="1258"/>
        <v>20000</v>
      </c>
      <c r="DN285" s="15"/>
      <c r="DO285" s="15">
        <f t="shared" si="1259"/>
        <v>20000</v>
      </c>
      <c r="DQ285" s="15"/>
      <c r="DR285" s="15">
        <f t="shared" si="1260"/>
        <v>20000</v>
      </c>
      <c r="DT285" s="15"/>
      <c r="DU285" s="15">
        <f t="shared" si="1261"/>
        <v>20000</v>
      </c>
      <c r="DW285" s="15"/>
      <c r="DX285" s="15">
        <f t="shared" si="1262"/>
        <v>20000</v>
      </c>
      <c r="DZ285" s="15"/>
      <c r="EA285" s="15">
        <f t="shared" si="1263"/>
        <v>20000</v>
      </c>
      <c r="EC285" s="15"/>
      <c r="ED285" s="15">
        <f t="shared" si="1264"/>
        <v>20000</v>
      </c>
      <c r="EF285" s="15"/>
      <c r="EG285" s="15">
        <f t="shared" si="1287"/>
        <v>20000</v>
      </c>
      <c r="EI285" s="15">
        <v>10421</v>
      </c>
      <c r="EK285" s="15">
        <v>12000</v>
      </c>
      <c r="EM285" s="15"/>
      <c r="EN285" s="15">
        <f t="shared" si="1290"/>
        <v>12000</v>
      </c>
      <c r="EP285" s="15"/>
      <c r="EQ285" s="15">
        <f t="shared" si="1291"/>
        <v>12000</v>
      </c>
      <c r="ES285" s="15"/>
      <c r="ET285" s="15">
        <f t="shared" si="1292"/>
        <v>12000</v>
      </c>
      <c r="EW285" s="15">
        <f t="shared" si="1293"/>
        <v>12000</v>
      </c>
      <c r="EZ285" s="15">
        <f t="shared" si="1294"/>
        <v>12000</v>
      </c>
      <c r="FC285" s="15">
        <f t="shared" si="1295"/>
        <v>12000</v>
      </c>
      <c r="FF285" s="15">
        <f t="shared" si="1296"/>
        <v>12000</v>
      </c>
      <c r="FI285" s="15">
        <f t="shared" si="1297"/>
        <v>12000</v>
      </c>
      <c r="FL285" s="15">
        <f t="shared" si="1298"/>
        <v>12000</v>
      </c>
      <c r="FO285" s="15">
        <f t="shared" si="1299"/>
        <v>12000</v>
      </c>
      <c r="FR285" s="15">
        <v>12000</v>
      </c>
      <c r="FT285" s="15">
        <v>11378.9</v>
      </c>
      <c r="FV285" s="15">
        <v>12000</v>
      </c>
      <c r="FW285" s="235">
        <f t="shared" si="1229"/>
        <v>1.0545834834650099</v>
      </c>
    </row>
    <row r="286" spans="1:179" outlineLevel="1">
      <c r="A286" s="1" t="s">
        <v>76</v>
      </c>
      <c r="B286" s="1" t="s">
        <v>233</v>
      </c>
      <c r="C286" s="4" t="s">
        <v>234</v>
      </c>
      <c r="D286" s="43">
        <v>0</v>
      </c>
      <c r="E286" s="34">
        <v>0</v>
      </c>
      <c r="F286" s="43">
        <v>3750</v>
      </c>
      <c r="G286" s="34">
        <v>100</v>
      </c>
      <c r="H286" s="46">
        <v>3750</v>
      </c>
      <c r="I286" s="36">
        <v>3750</v>
      </c>
      <c r="J286" s="14"/>
      <c r="L286" s="118">
        <v>0</v>
      </c>
      <c r="M286" s="17">
        <f t="shared" si="1230"/>
        <v>-1</v>
      </c>
      <c r="N286" s="17">
        <f t="shared" si="1227"/>
        <v>-1</v>
      </c>
      <c r="U286" s="16"/>
      <c r="Y286" s="118"/>
      <c r="AA286" s="118">
        <v>0</v>
      </c>
      <c r="AB286" s="185">
        <f t="shared" si="1233"/>
        <v>0</v>
      </c>
      <c r="AC286" s="187">
        <f t="shared" si="1234"/>
        <v>0</v>
      </c>
      <c r="AD286" s="187"/>
      <c r="AE286" s="118">
        <v>0</v>
      </c>
      <c r="AF286" s="182"/>
      <c r="AH286" s="15">
        <v>0</v>
      </c>
      <c r="AI286" s="17" t="e">
        <f t="shared" si="1288"/>
        <v>#DIV/0!</v>
      </c>
      <c r="AR286" s="15"/>
      <c r="AS286" s="15">
        <f t="shared" si="1235"/>
        <v>0</v>
      </c>
      <c r="AV286" s="15">
        <f t="shared" si="1236"/>
        <v>0</v>
      </c>
      <c r="AX286" s="15"/>
      <c r="AY286" s="15">
        <f t="shared" si="1237"/>
        <v>0</v>
      </c>
      <c r="BB286" s="15">
        <f t="shared" si="1238"/>
        <v>0</v>
      </c>
      <c r="BD286" s="15"/>
      <c r="BE286" s="15">
        <f t="shared" si="1239"/>
        <v>0</v>
      </c>
      <c r="BG286" s="15"/>
      <c r="BH286" s="15">
        <f t="shared" si="1240"/>
        <v>0</v>
      </c>
      <c r="BJ286" s="15">
        <v>0</v>
      </c>
      <c r="BK286" s="235" t="e">
        <f t="shared" si="1289"/>
        <v>#DIV/0!</v>
      </c>
      <c r="BM286" s="15">
        <v>0</v>
      </c>
      <c r="BN286" s="235" t="e">
        <f t="shared" si="1284"/>
        <v>#DIV/0!</v>
      </c>
      <c r="BO286" s="235" t="e">
        <f t="shared" si="1285"/>
        <v>#DIV/0!</v>
      </c>
      <c r="BQ286" s="15"/>
      <c r="BR286" s="15">
        <f t="shared" si="1308"/>
        <v>0</v>
      </c>
      <c r="BT286" s="15"/>
      <c r="BU286" s="15">
        <f t="shared" si="1245"/>
        <v>0</v>
      </c>
      <c r="BW286" s="15"/>
      <c r="BX286" s="15">
        <f t="shared" si="1246"/>
        <v>0</v>
      </c>
      <c r="BZ286" s="15"/>
      <c r="CA286" s="15">
        <f t="shared" si="1247"/>
        <v>0</v>
      </c>
      <c r="CC286" s="15"/>
      <c r="CD286" s="15">
        <f t="shared" si="1248"/>
        <v>0</v>
      </c>
      <c r="CF286" s="15"/>
      <c r="CG286" s="15">
        <f t="shared" si="1249"/>
        <v>0</v>
      </c>
      <c r="CI286" s="15"/>
      <c r="CJ286" s="15">
        <f t="shared" si="1250"/>
        <v>0</v>
      </c>
      <c r="CM286" s="15">
        <f t="shared" si="1251"/>
        <v>0</v>
      </c>
      <c r="CP286" s="15">
        <f t="shared" si="1252"/>
        <v>0</v>
      </c>
      <c r="CS286" s="15">
        <f t="shared" si="1253"/>
        <v>0</v>
      </c>
      <c r="CV286" s="15">
        <f t="shared" si="1254"/>
        <v>0</v>
      </c>
      <c r="CY286" s="15">
        <f t="shared" si="1255"/>
        <v>0</v>
      </c>
      <c r="DA286" s="15">
        <v>0</v>
      </c>
      <c r="DE286" s="15"/>
      <c r="DF286" s="15">
        <f t="shared" si="1256"/>
        <v>0</v>
      </c>
      <c r="DH286" s="15"/>
      <c r="DI286" s="15">
        <f t="shared" si="1257"/>
        <v>0</v>
      </c>
      <c r="DK286" s="15"/>
      <c r="DL286" s="15">
        <f t="shared" si="1258"/>
        <v>0</v>
      </c>
      <c r="DN286" s="15"/>
      <c r="DO286" s="15">
        <f t="shared" si="1259"/>
        <v>0</v>
      </c>
      <c r="DQ286" s="15"/>
      <c r="DR286" s="15">
        <f t="shared" si="1260"/>
        <v>0</v>
      </c>
      <c r="DT286" s="15"/>
      <c r="DU286" s="15">
        <f t="shared" si="1261"/>
        <v>0</v>
      </c>
      <c r="DW286" s="15"/>
      <c r="DX286" s="15">
        <f t="shared" si="1262"/>
        <v>0</v>
      </c>
      <c r="DZ286" s="15"/>
      <c r="EA286" s="15">
        <f t="shared" si="1263"/>
        <v>0</v>
      </c>
      <c r="EC286" s="15"/>
      <c r="ED286" s="15">
        <f t="shared" si="1264"/>
        <v>0</v>
      </c>
      <c r="EF286" s="15"/>
      <c r="EG286" s="15">
        <f t="shared" si="1287"/>
        <v>0</v>
      </c>
      <c r="EK286" s="15"/>
      <c r="EM286" s="15"/>
      <c r="EN286" s="15">
        <f t="shared" si="1290"/>
        <v>0</v>
      </c>
      <c r="EP286" s="15"/>
      <c r="EQ286" s="15">
        <f t="shared" si="1291"/>
        <v>0</v>
      </c>
      <c r="ES286" s="15"/>
      <c r="ET286" s="15">
        <f t="shared" si="1292"/>
        <v>0</v>
      </c>
      <c r="EW286" s="15">
        <f t="shared" si="1293"/>
        <v>0</v>
      </c>
      <c r="EZ286" s="15">
        <f t="shared" si="1294"/>
        <v>0</v>
      </c>
      <c r="FC286" s="15">
        <f t="shared" si="1295"/>
        <v>0</v>
      </c>
      <c r="FF286" s="15">
        <f t="shared" si="1296"/>
        <v>0</v>
      </c>
      <c r="FI286" s="15">
        <f t="shared" si="1297"/>
        <v>0</v>
      </c>
      <c r="FL286" s="15">
        <f t="shared" si="1298"/>
        <v>0</v>
      </c>
      <c r="FO286" s="15">
        <f t="shared" si="1299"/>
        <v>0</v>
      </c>
      <c r="FR286" s="15">
        <v>0</v>
      </c>
      <c r="FW286" s="235" t="e">
        <f t="shared" si="1229"/>
        <v>#DIV/0!</v>
      </c>
    </row>
    <row r="287" spans="1:179" outlineLevel="1">
      <c r="A287" s="1" t="s">
        <v>76</v>
      </c>
      <c r="B287" s="1" t="s">
        <v>150</v>
      </c>
      <c r="C287" s="4" t="s">
        <v>151</v>
      </c>
      <c r="D287" s="43">
        <v>2000</v>
      </c>
      <c r="E287" s="34">
        <v>56.6</v>
      </c>
      <c r="F287" s="43">
        <v>2000</v>
      </c>
      <c r="G287" s="34">
        <v>56.6</v>
      </c>
      <c r="H287" s="46">
        <v>1132</v>
      </c>
      <c r="I287" s="15">
        <v>1132</v>
      </c>
      <c r="L287" s="118">
        <v>2000</v>
      </c>
      <c r="M287" s="17">
        <f t="shared" si="1230"/>
        <v>0</v>
      </c>
      <c r="N287" s="17">
        <f t="shared" si="1227"/>
        <v>0.76678445229681969</v>
      </c>
      <c r="Q287" s="118">
        <v>2000</v>
      </c>
      <c r="R287" s="15">
        <v>1381</v>
      </c>
      <c r="S287" s="118">
        <v>2000</v>
      </c>
      <c r="T287" s="15">
        <f t="shared" si="1300"/>
        <v>0</v>
      </c>
      <c r="U287" s="16">
        <f t="shared" si="1301"/>
        <v>0</v>
      </c>
      <c r="Y287" s="118">
        <v>2000</v>
      </c>
      <c r="AA287" s="118">
        <v>2000</v>
      </c>
      <c r="AB287" s="185">
        <f t="shared" si="1233"/>
        <v>0</v>
      </c>
      <c r="AC287" s="187">
        <f t="shared" si="1234"/>
        <v>0</v>
      </c>
      <c r="AD287" s="187"/>
      <c r="AE287" s="118">
        <v>2000</v>
      </c>
      <c r="AF287" s="182"/>
      <c r="AH287" s="15">
        <v>1380.7</v>
      </c>
      <c r="AI287" s="17">
        <f t="shared" ref="AI287:AI291" si="1309">AH287/AE287</f>
        <v>0.69035000000000002</v>
      </c>
      <c r="AK287" s="118">
        <v>2000</v>
      </c>
      <c r="AR287" s="15"/>
      <c r="AS287" s="15">
        <f t="shared" si="1235"/>
        <v>2000</v>
      </c>
      <c r="AV287" s="15">
        <f t="shared" si="1236"/>
        <v>2000</v>
      </c>
      <c r="AX287" s="15"/>
      <c r="AY287" s="15">
        <f t="shared" si="1237"/>
        <v>2000</v>
      </c>
      <c r="BB287" s="15">
        <f t="shared" si="1238"/>
        <v>2000</v>
      </c>
      <c r="BD287" s="15"/>
      <c r="BE287" s="15">
        <f t="shared" si="1239"/>
        <v>2000</v>
      </c>
      <c r="BG287" s="15">
        <v>-2000</v>
      </c>
      <c r="BH287" s="15">
        <f t="shared" si="1240"/>
        <v>0</v>
      </c>
      <c r="BJ287" s="15">
        <v>0</v>
      </c>
      <c r="BK287" s="235" t="e">
        <f t="shared" si="1289"/>
        <v>#DIV/0!</v>
      </c>
      <c r="BM287" s="15">
        <v>2000</v>
      </c>
      <c r="BN287" s="235" t="e">
        <f t="shared" si="1284"/>
        <v>#DIV/0!</v>
      </c>
      <c r="BO287" s="235" t="e">
        <f t="shared" si="1285"/>
        <v>#DIV/0!</v>
      </c>
      <c r="BQ287" s="15"/>
      <c r="BR287" s="15">
        <f t="shared" si="1308"/>
        <v>2000</v>
      </c>
      <c r="BT287" s="15"/>
      <c r="BU287" s="15">
        <f t="shared" si="1245"/>
        <v>2000</v>
      </c>
      <c r="BW287" s="15"/>
      <c r="BX287" s="15">
        <f t="shared" si="1246"/>
        <v>2000</v>
      </c>
      <c r="BZ287" s="15"/>
      <c r="CA287" s="15">
        <f t="shared" si="1247"/>
        <v>2000</v>
      </c>
      <c r="CC287" s="15"/>
      <c r="CD287" s="15">
        <f t="shared" si="1248"/>
        <v>2000</v>
      </c>
      <c r="CF287" s="15"/>
      <c r="CG287" s="15">
        <f t="shared" si="1249"/>
        <v>2000</v>
      </c>
      <c r="CI287" s="15"/>
      <c r="CJ287" s="15">
        <f t="shared" si="1250"/>
        <v>2000</v>
      </c>
      <c r="CM287" s="15">
        <f t="shared" si="1251"/>
        <v>2000</v>
      </c>
      <c r="CP287" s="15">
        <f t="shared" si="1252"/>
        <v>2000</v>
      </c>
      <c r="CS287" s="15">
        <f t="shared" si="1253"/>
        <v>2000</v>
      </c>
      <c r="CU287" s="227">
        <v>-2000</v>
      </c>
      <c r="CV287" s="15">
        <f t="shared" si="1254"/>
        <v>0</v>
      </c>
      <c r="CX287" s="227"/>
      <c r="CY287" s="15">
        <f t="shared" si="1255"/>
        <v>0</v>
      </c>
      <c r="DA287" s="15">
        <v>0</v>
      </c>
      <c r="DE287" s="15"/>
      <c r="DF287" s="15">
        <f t="shared" si="1256"/>
        <v>0</v>
      </c>
      <c r="DH287" s="15"/>
      <c r="DI287" s="15">
        <f t="shared" si="1257"/>
        <v>0</v>
      </c>
      <c r="DK287" s="15"/>
      <c r="DL287" s="15">
        <f t="shared" si="1258"/>
        <v>0</v>
      </c>
      <c r="DN287" s="15"/>
      <c r="DO287" s="15">
        <f t="shared" si="1259"/>
        <v>0</v>
      </c>
      <c r="DQ287" s="15"/>
      <c r="DR287" s="15">
        <f t="shared" si="1260"/>
        <v>0</v>
      </c>
      <c r="DT287" s="15"/>
      <c r="DU287" s="15">
        <f t="shared" si="1261"/>
        <v>0</v>
      </c>
      <c r="DW287" s="15"/>
      <c r="DX287" s="15">
        <f t="shared" si="1262"/>
        <v>0</v>
      </c>
      <c r="DZ287" s="15"/>
      <c r="EA287" s="15">
        <f t="shared" si="1263"/>
        <v>0</v>
      </c>
      <c r="EC287" s="15"/>
      <c r="ED287" s="15">
        <f t="shared" si="1264"/>
        <v>0</v>
      </c>
      <c r="EF287" s="15"/>
      <c r="EG287" s="15">
        <f t="shared" si="1287"/>
        <v>0</v>
      </c>
      <c r="EK287" s="15"/>
      <c r="EM287" s="15"/>
      <c r="EN287" s="15">
        <f t="shared" si="1290"/>
        <v>0</v>
      </c>
      <c r="EP287" s="15"/>
      <c r="EQ287" s="15">
        <f t="shared" si="1291"/>
        <v>0</v>
      </c>
      <c r="ES287" s="15"/>
      <c r="ET287" s="15">
        <f t="shared" si="1292"/>
        <v>0</v>
      </c>
      <c r="EW287" s="15">
        <f t="shared" si="1293"/>
        <v>0</v>
      </c>
      <c r="EZ287" s="15">
        <f t="shared" si="1294"/>
        <v>0</v>
      </c>
      <c r="FC287" s="15">
        <f t="shared" si="1295"/>
        <v>0</v>
      </c>
      <c r="FF287" s="15">
        <f t="shared" si="1296"/>
        <v>0</v>
      </c>
      <c r="FI287" s="15">
        <f t="shared" si="1297"/>
        <v>0</v>
      </c>
      <c r="FL287" s="15">
        <f t="shared" si="1298"/>
        <v>0</v>
      </c>
      <c r="FO287" s="15">
        <f t="shared" si="1299"/>
        <v>0</v>
      </c>
      <c r="FR287" s="15">
        <v>0</v>
      </c>
      <c r="FW287" s="235" t="e">
        <f t="shared" si="1229"/>
        <v>#DIV/0!</v>
      </c>
    </row>
    <row r="288" spans="1:179" outlineLevel="1">
      <c r="A288" s="1" t="s">
        <v>76</v>
      </c>
      <c r="B288" s="1" t="s">
        <v>134</v>
      </c>
      <c r="C288" s="4" t="s">
        <v>135</v>
      </c>
      <c r="D288" s="43">
        <v>3000</v>
      </c>
      <c r="E288" s="34">
        <v>97.13</v>
      </c>
      <c r="F288" s="43">
        <v>3000</v>
      </c>
      <c r="G288" s="34">
        <v>97.13</v>
      </c>
      <c r="H288" s="46">
        <v>2914</v>
      </c>
      <c r="I288" s="36">
        <v>2914</v>
      </c>
      <c r="J288" s="14"/>
      <c r="K288" t="s">
        <v>332</v>
      </c>
      <c r="L288" s="118">
        <v>6200</v>
      </c>
      <c r="M288" s="17">
        <f t="shared" si="1230"/>
        <v>1.0666666666666669</v>
      </c>
      <c r="N288" s="17">
        <f t="shared" si="1227"/>
        <v>1.1276595744680851</v>
      </c>
      <c r="Q288" s="118">
        <v>6300</v>
      </c>
      <c r="R288" s="15">
        <v>6279</v>
      </c>
      <c r="S288" s="118">
        <v>6300</v>
      </c>
      <c r="T288" s="15">
        <f t="shared" si="1300"/>
        <v>0</v>
      </c>
      <c r="U288" s="16">
        <f t="shared" si="1301"/>
        <v>0</v>
      </c>
      <c r="V288" s="140">
        <v>6300</v>
      </c>
      <c r="W288" s="15">
        <f>V288-L288</f>
        <v>100</v>
      </c>
      <c r="Y288" s="118">
        <v>6300</v>
      </c>
      <c r="AA288" s="118">
        <v>6300</v>
      </c>
      <c r="AB288" s="185">
        <f t="shared" si="1233"/>
        <v>0</v>
      </c>
      <c r="AC288" s="187">
        <f t="shared" si="1234"/>
        <v>0</v>
      </c>
      <c r="AD288" s="187"/>
      <c r="AE288" s="118">
        <v>6300</v>
      </c>
      <c r="AF288" s="182"/>
      <c r="AH288" s="15">
        <v>3279</v>
      </c>
      <c r="AI288" s="17">
        <f t="shared" si="1309"/>
        <v>0.52047619047619043</v>
      </c>
      <c r="AK288" s="118">
        <v>6800</v>
      </c>
      <c r="AP288" s="220">
        <v>300</v>
      </c>
      <c r="AR288" s="15"/>
      <c r="AS288" s="15">
        <f t="shared" si="1235"/>
        <v>6800</v>
      </c>
      <c r="AV288" s="15">
        <f t="shared" si="1236"/>
        <v>6800</v>
      </c>
      <c r="AX288" s="15"/>
      <c r="AY288" s="15">
        <f t="shared" si="1237"/>
        <v>6800</v>
      </c>
      <c r="BB288" s="15">
        <f t="shared" si="1238"/>
        <v>6800</v>
      </c>
      <c r="BD288" s="15"/>
      <c r="BE288" s="15">
        <f t="shared" si="1239"/>
        <v>6800</v>
      </c>
      <c r="BG288" s="15"/>
      <c r="BH288" s="15">
        <f t="shared" si="1240"/>
        <v>6800</v>
      </c>
      <c r="BJ288" s="15">
        <v>6761</v>
      </c>
      <c r="BK288" s="235">
        <f t="shared" si="1289"/>
        <v>0.99426470588235294</v>
      </c>
      <c r="BM288" s="15">
        <v>6800</v>
      </c>
      <c r="BN288" s="235">
        <f t="shared" si="1284"/>
        <v>1.0057683774589559</v>
      </c>
      <c r="BO288" s="235">
        <f t="shared" si="1285"/>
        <v>1</v>
      </c>
      <c r="BQ288" s="15"/>
      <c r="BR288" s="15">
        <f t="shared" si="1308"/>
        <v>6800</v>
      </c>
      <c r="BT288" s="15"/>
      <c r="BU288" s="15">
        <f t="shared" si="1245"/>
        <v>6800</v>
      </c>
      <c r="BW288" s="15"/>
      <c r="BX288" s="15">
        <f t="shared" si="1246"/>
        <v>6800</v>
      </c>
      <c r="BZ288" s="15"/>
      <c r="CA288" s="15">
        <f t="shared" si="1247"/>
        <v>6800</v>
      </c>
      <c r="CC288" s="15"/>
      <c r="CD288" s="15">
        <f t="shared" si="1248"/>
        <v>6800</v>
      </c>
      <c r="CF288" s="15"/>
      <c r="CG288" s="15">
        <f t="shared" si="1249"/>
        <v>6800</v>
      </c>
      <c r="CI288" s="15"/>
      <c r="CJ288" s="15">
        <f t="shared" si="1250"/>
        <v>6800</v>
      </c>
      <c r="CM288" s="15">
        <f t="shared" si="1251"/>
        <v>6800</v>
      </c>
      <c r="CP288" s="15">
        <f t="shared" si="1252"/>
        <v>6800</v>
      </c>
      <c r="CS288" s="15">
        <f t="shared" si="1253"/>
        <v>6800</v>
      </c>
      <c r="CV288" s="15">
        <f t="shared" si="1254"/>
        <v>6800</v>
      </c>
      <c r="CY288" s="15">
        <f t="shared" si="1255"/>
        <v>6800</v>
      </c>
      <c r="DA288" s="15">
        <v>6761</v>
      </c>
      <c r="DC288" s="15">
        <v>6800</v>
      </c>
      <c r="DE288" s="15"/>
      <c r="DF288" s="15">
        <f t="shared" si="1256"/>
        <v>6800</v>
      </c>
      <c r="DH288" s="15"/>
      <c r="DI288" s="15">
        <f t="shared" si="1257"/>
        <v>6800</v>
      </c>
      <c r="DK288" s="15"/>
      <c r="DL288" s="15">
        <f t="shared" si="1258"/>
        <v>6800</v>
      </c>
      <c r="DN288" s="15"/>
      <c r="DO288" s="15">
        <f t="shared" si="1259"/>
        <v>6800</v>
      </c>
      <c r="DQ288" s="15"/>
      <c r="DR288" s="15">
        <f t="shared" si="1260"/>
        <v>6800</v>
      </c>
      <c r="DT288" s="15"/>
      <c r="DU288" s="15">
        <f t="shared" si="1261"/>
        <v>6800</v>
      </c>
      <c r="DW288" s="15"/>
      <c r="DX288" s="15">
        <f t="shared" si="1262"/>
        <v>6800</v>
      </c>
      <c r="DZ288" s="15"/>
      <c r="EA288" s="15">
        <f t="shared" si="1263"/>
        <v>6800</v>
      </c>
      <c r="EC288" s="15"/>
      <c r="ED288" s="15">
        <f t="shared" si="1264"/>
        <v>6800</v>
      </c>
      <c r="EF288" s="15"/>
      <c r="EG288" s="15">
        <f t="shared" si="1287"/>
        <v>6800</v>
      </c>
      <c r="EI288" s="15">
        <v>6779</v>
      </c>
      <c r="EK288" s="15">
        <v>6400</v>
      </c>
      <c r="EM288" s="15"/>
      <c r="EN288" s="15">
        <f t="shared" si="1290"/>
        <v>6400</v>
      </c>
      <c r="EP288" s="15"/>
      <c r="EQ288" s="15">
        <f t="shared" si="1291"/>
        <v>6400</v>
      </c>
      <c r="ES288" s="15"/>
      <c r="ET288" s="15">
        <f t="shared" si="1292"/>
        <v>6400</v>
      </c>
      <c r="EW288" s="15">
        <f t="shared" si="1293"/>
        <v>6400</v>
      </c>
      <c r="EZ288" s="15">
        <f t="shared" si="1294"/>
        <v>6400</v>
      </c>
      <c r="FC288" s="15">
        <f t="shared" si="1295"/>
        <v>6400</v>
      </c>
      <c r="FF288" s="15">
        <f t="shared" si="1296"/>
        <v>6400</v>
      </c>
      <c r="FI288" s="15">
        <f t="shared" si="1297"/>
        <v>6400</v>
      </c>
      <c r="FL288" s="15">
        <f t="shared" si="1298"/>
        <v>6400</v>
      </c>
      <c r="FO288" s="15">
        <f t="shared" si="1299"/>
        <v>6400</v>
      </c>
      <c r="FR288" s="15">
        <v>6400</v>
      </c>
      <c r="FT288" s="15">
        <v>6374</v>
      </c>
      <c r="FV288" s="15">
        <v>6400</v>
      </c>
      <c r="FW288" s="235">
        <f t="shared" si="1229"/>
        <v>1.004079071226859</v>
      </c>
    </row>
    <row r="289" spans="1:179" outlineLevel="1">
      <c r="A289" s="1" t="s">
        <v>76</v>
      </c>
      <c r="B289" s="1" t="s">
        <v>422</v>
      </c>
      <c r="C289" s="4" t="s">
        <v>423</v>
      </c>
      <c r="D289" s="43"/>
      <c r="E289" s="34"/>
      <c r="F289" s="43"/>
      <c r="G289" s="34"/>
      <c r="H289" s="46"/>
      <c r="I289" s="36"/>
      <c r="J289" s="14"/>
      <c r="M289" s="17"/>
      <c r="N289" s="17"/>
      <c r="U289" s="16"/>
      <c r="W289" s="15"/>
      <c r="Y289" s="118"/>
      <c r="AA289" s="118">
        <v>13000</v>
      </c>
      <c r="AB289" s="185">
        <f t="shared" si="1233"/>
        <v>13000</v>
      </c>
      <c r="AC289" s="187">
        <f t="shared" si="1234"/>
        <v>13000</v>
      </c>
      <c r="AD289" s="187"/>
      <c r="AE289" s="118">
        <v>13000</v>
      </c>
      <c r="AF289" s="182"/>
      <c r="AH289" s="15">
        <v>13000</v>
      </c>
      <c r="AI289" s="17">
        <f t="shared" si="1309"/>
        <v>1</v>
      </c>
      <c r="AK289" s="118">
        <v>0</v>
      </c>
      <c r="AR289" s="15"/>
      <c r="AS289" s="15">
        <f t="shared" si="1235"/>
        <v>0</v>
      </c>
      <c r="AV289" s="15">
        <f t="shared" si="1236"/>
        <v>0</v>
      </c>
      <c r="AX289" s="15"/>
      <c r="AY289" s="15">
        <f t="shared" si="1237"/>
        <v>0</v>
      </c>
      <c r="BB289" s="15">
        <f t="shared" si="1238"/>
        <v>0</v>
      </c>
      <c r="BD289" s="15"/>
      <c r="BE289" s="15">
        <f t="shared" si="1239"/>
        <v>0</v>
      </c>
      <c r="BG289" s="15"/>
      <c r="BH289" s="15">
        <f t="shared" si="1240"/>
        <v>0</v>
      </c>
      <c r="BM289" s="15"/>
      <c r="BQ289" s="15"/>
      <c r="BR289" s="15"/>
      <c r="BT289" s="15"/>
      <c r="BU289" s="15"/>
      <c r="BW289" s="15"/>
      <c r="BX289" s="15"/>
      <c r="BZ289" s="15"/>
      <c r="CA289" s="15"/>
      <c r="CC289" s="15"/>
      <c r="CD289" s="15"/>
      <c r="CF289" s="15"/>
      <c r="CG289" s="15"/>
      <c r="CI289" s="15"/>
      <c r="CJ289" s="15"/>
      <c r="CM289" s="15"/>
      <c r="CP289" s="15"/>
      <c r="CS289" s="15"/>
      <c r="CV289" s="15"/>
      <c r="CY289" s="15"/>
      <c r="DE289" s="15"/>
      <c r="DF289" s="15">
        <f t="shared" si="1256"/>
        <v>0</v>
      </c>
      <c r="DH289" s="15"/>
      <c r="DI289" s="15">
        <f t="shared" si="1257"/>
        <v>0</v>
      </c>
      <c r="DK289" s="15"/>
      <c r="DL289" s="15">
        <f t="shared" si="1258"/>
        <v>0</v>
      </c>
      <c r="DN289" s="15"/>
      <c r="DO289" s="15">
        <f t="shared" si="1259"/>
        <v>0</v>
      </c>
      <c r="DQ289" s="15"/>
      <c r="DR289" s="15">
        <f t="shared" si="1260"/>
        <v>0</v>
      </c>
      <c r="DT289" s="15"/>
      <c r="DU289" s="15">
        <f t="shared" si="1261"/>
        <v>0</v>
      </c>
      <c r="DW289" s="15"/>
      <c r="DX289" s="15">
        <f t="shared" si="1262"/>
        <v>0</v>
      </c>
      <c r="DZ289" s="15"/>
      <c r="EA289" s="15">
        <f t="shared" si="1263"/>
        <v>0</v>
      </c>
      <c r="EC289" s="15"/>
      <c r="ED289" s="15">
        <f t="shared" si="1264"/>
        <v>0</v>
      </c>
      <c r="EF289" s="15"/>
      <c r="EG289" s="15">
        <f t="shared" si="1287"/>
        <v>0</v>
      </c>
      <c r="EK289" s="15"/>
      <c r="EM289" s="15"/>
      <c r="EN289" s="15">
        <f t="shared" si="1290"/>
        <v>0</v>
      </c>
      <c r="EP289" s="15"/>
      <c r="EQ289" s="15">
        <f t="shared" si="1291"/>
        <v>0</v>
      </c>
      <c r="ES289" s="15"/>
      <c r="ET289" s="15">
        <f t="shared" si="1292"/>
        <v>0</v>
      </c>
      <c r="EW289" s="15">
        <f t="shared" si="1293"/>
        <v>0</v>
      </c>
      <c r="EZ289" s="15">
        <f t="shared" si="1294"/>
        <v>0</v>
      </c>
      <c r="FC289" s="15">
        <f t="shared" si="1295"/>
        <v>0</v>
      </c>
      <c r="FF289" s="15">
        <f t="shared" si="1296"/>
        <v>0</v>
      </c>
      <c r="FI289" s="15">
        <f t="shared" si="1297"/>
        <v>0</v>
      </c>
      <c r="FL289" s="15">
        <f t="shared" si="1298"/>
        <v>0</v>
      </c>
      <c r="FO289" s="15">
        <f t="shared" si="1299"/>
        <v>0</v>
      </c>
      <c r="FR289" s="15">
        <v>0</v>
      </c>
      <c r="FW289" s="235" t="e">
        <f t="shared" si="1229"/>
        <v>#DIV/0!</v>
      </c>
    </row>
    <row r="290" spans="1:179" outlineLevel="1">
      <c r="A290" s="1" t="s">
        <v>76</v>
      </c>
      <c r="B290" s="1" t="s">
        <v>249</v>
      </c>
      <c r="C290" s="4" t="s">
        <v>496</v>
      </c>
      <c r="D290" s="43"/>
      <c r="E290" s="34"/>
      <c r="F290" s="43"/>
      <c r="G290" s="34"/>
      <c r="H290" s="46"/>
      <c r="I290" s="36"/>
      <c r="J290" s="14"/>
      <c r="M290" s="17"/>
      <c r="N290" s="17"/>
      <c r="U290" s="16"/>
      <c r="W290" s="15"/>
      <c r="Y290" s="118"/>
      <c r="AB290" s="185"/>
      <c r="AC290" s="187"/>
      <c r="AD290" s="187"/>
      <c r="AF290" s="182"/>
      <c r="AH290" s="15"/>
      <c r="AI290" s="17"/>
      <c r="AR290" s="15"/>
      <c r="AS290" s="15"/>
      <c r="AV290" s="15"/>
      <c r="AX290" s="15"/>
      <c r="AY290" s="15"/>
      <c r="BB290" s="15"/>
      <c r="BD290" s="15"/>
      <c r="BE290" s="15"/>
      <c r="BG290" s="15">
        <v>200</v>
      </c>
      <c r="BH290" s="15">
        <f t="shared" si="1240"/>
        <v>200</v>
      </c>
      <c r="BJ290" s="15">
        <v>200</v>
      </c>
      <c r="BK290" s="235">
        <f t="shared" ref="BK290:BK291" si="1310">BJ290/BH290</f>
        <v>1</v>
      </c>
      <c r="BM290" s="15">
        <v>0</v>
      </c>
      <c r="BQ290" s="15"/>
      <c r="BR290" s="15">
        <f t="shared" ref="BR290:BR291" si="1311">BM290+BQ290</f>
        <v>0</v>
      </c>
      <c r="BT290" s="15"/>
      <c r="BU290" s="15">
        <f>BR290+BT290</f>
        <v>0</v>
      </c>
      <c r="BW290" s="15"/>
      <c r="BX290" s="15">
        <f>BU290+BW290</f>
        <v>0</v>
      </c>
      <c r="BZ290" s="15"/>
      <c r="CA290" s="15">
        <f>BX290+BZ290</f>
        <v>0</v>
      </c>
      <c r="CC290" s="15"/>
      <c r="CD290" s="15">
        <f>CA290+CC290</f>
        <v>0</v>
      </c>
      <c r="CF290" s="15"/>
      <c r="CG290" s="15">
        <f>CD290+CF290</f>
        <v>0</v>
      </c>
      <c r="CI290" s="15"/>
      <c r="CJ290" s="15">
        <f>CG290+CI290</f>
        <v>0</v>
      </c>
      <c r="CM290" s="15">
        <f>CJ290+CL290</f>
        <v>0</v>
      </c>
      <c r="CP290" s="15">
        <f>CM290+CO290</f>
        <v>0</v>
      </c>
      <c r="CS290" s="15">
        <f>CP290+CR290</f>
        <v>0</v>
      </c>
      <c r="CV290" s="15">
        <f>CS290+CU290</f>
        <v>0</v>
      </c>
      <c r="CY290" s="15">
        <f>CV290+CX290</f>
        <v>0</v>
      </c>
      <c r="DA290" s="15">
        <v>0</v>
      </c>
      <c r="DE290" s="15"/>
      <c r="DF290" s="15">
        <f t="shared" si="1256"/>
        <v>0</v>
      </c>
      <c r="DH290" s="15"/>
      <c r="DI290" s="15">
        <f t="shared" si="1257"/>
        <v>0</v>
      </c>
      <c r="DK290" s="15"/>
      <c r="DL290" s="15">
        <f t="shared" si="1258"/>
        <v>0</v>
      </c>
      <c r="DN290" s="15"/>
      <c r="DO290" s="15">
        <f t="shared" si="1259"/>
        <v>0</v>
      </c>
      <c r="DQ290" s="15"/>
      <c r="DR290" s="15">
        <f t="shared" si="1260"/>
        <v>0</v>
      </c>
      <c r="DT290" s="15"/>
      <c r="DU290" s="15">
        <f t="shared" si="1261"/>
        <v>0</v>
      </c>
      <c r="DW290" s="15"/>
      <c r="DX290" s="15">
        <f t="shared" si="1262"/>
        <v>0</v>
      </c>
      <c r="DZ290" s="15"/>
      <c r="EA290" s="15">
        <f t="shared" si="1263"/>
        <v>0</v>
      </c>
      <c r="EC290" s="15"/>
      <c r="ED290" s="15">
        <f t="shared" si="1264"/>
        <v>0</v>
      </c>
      <c r="EF290" s="15"/>
      <c r="EG290" s="15">
        <f t="shared" si="1287"/>
        <v>0</v>
      </c>
      <c r="EK290" s="15"/>
      <c r="EM290" s="15"/>
      <c r="EN290" s="15">
        <f t="shared" si="1290"/>
        <v>0</v>
      </c>
      <c r="EP290" s="15"/>
      <c r="EQ290" s="15">
        <f t="shared" si="1291"/>
        <v>0</v>
      </c>
      <c r="ES290" s="15"/>
      <c r="ET290" s="15">
        <f t="shared" si="1292"/>
        <v>0</v>
      </c>
      <c r="EW290" s="15">
        <f t="shared" si="1293"/>
        <v>0</v>
      </c>
      <c r="EZ290" s="15">
        <f t="shared" si="1294"/>
        <v>0</v>
      </c>
      <c r="FC290" s="15">
        <f t="shared" si="1295"/>
        <v>0</v>
      </c>
      <c r="FF290" s="15">
        <f t="shared" si="1296"/>
        <v>0</v>
      </c>
      <c r="FI290" s="15">
        <f t="shared" si="1297"/>
        <v>0</v>
      </c>
      <c r="FL290" s="15">
        <f t="shared" si="1298"/>
        <v>0</v>
      </c>
      <c r="FO290" s="15">
        <f t="shared" si="1299"/>
        <v>0</v>
      </c>
      <c r="FR290" s="15">
        <v>0</v>
      </c>
      <c r="FW290" s="235" t="e">
        <f t="shared" si="1229"/>
        <v>#DIV/0!</v>
      </c>
    </row>
    <row r="291" spans="1:179" outlineLevel="1">
      <c r="A291" s="1" t="s">
        <v>76</v>
      </c>
      <c r="B291" s="1" t="s">
        <v>197</v>
      </c>
      <c r="C291" s="4" t="s">
        <v>198</v>
      </c>
      <c r="D291" s="43">
        <v>3000</v>
      </c>
      <c r="E291" s="34">
        <v>0</v>
      </c>
      <c r="F291" s="43">
        <v>3000</v>
      </c>
      <c r="G291" s="34">
        <v>0</v>
      </c>
      <c r="H291" s="46">
        <v>0</v>
      </c>
      <c r="I291" s="36">
        <v>0</v>
      </c>
      <c r="J291" s="14"/>
      <c r="K291" t="s">
        <v>332</v>
      </c>
      <c r="L291" s="118">
        <v>3000</v>
      </c>
      <c r="M291" s="17">
        <f t="shared" si="1230"/>
        <v>0</v>
      </c>
      <c r="N291" s="17" t="e">
        <f t="shared" si="1227"/>
        <v>#DIV/0!</v>
      </c>
      <c r="Q291" s="118">
        <v>5200</v>
      </c>
      <c r="R291" s="15">
        <v>5147</v>
      </c>
      <c r="S291" s="118">
        <v>7500</v>
      </c>
      <c r="T291" s="15">
        <f t="shared" si="1300"/>
        <v>2300</v>
      </c>
      <c r="U291" s="16">
        <f t="shared" si="1301"/>
        <v>0.44230769230769229</v>
      </c>
      <c r="Y291" s="118">
        <v>7500</v>
      </c>
      <c r="AA291" s="118">
        <v>6500</v>
      </c>
      <c r="AB291" s="185">
        <f t="shared" si="1233"/>
        <v>-1000</v>
      </c>
      <c r="AC291" s="187">
        <f t="shared" si="1234"/>
        <v>-1000</v>
      </c>
      <c r="AD291" s="187"/>
      <c r="AE291" s="118">
        <v>6500</v>
      </c>
      <c r="AF291" s="182"/>
      <c r="AH291" s="15">
        <v>5147</v>
      </c>
      <c r="AI291" s="17">
        <f t="shared" si="1309"/>
        <v>0.79184615384615387</v>
      </c>
      <c r="AK291" s="118">
        <v>6500</v>
      </c>
      <c r="AR291" s="15"/>
      <c r="AS291" s="15">
        <f t="shared" si="1235"/>
        <v>6500</v>
      </c>
      <c r="AV291" s="15">
        <f t="shared" si="1236"/>
        <v>6500</v>
      </c>
      <c r="AX291" s="15"/>
      <c r="AY291" s="15">
        <f t="shared" si="1237"/>
        <v>6500</v>
      </c>
      <c r="BB291" s="15">
        <f t="shared" si="1238"/>
        <v>6500</v>
      </c>
      <c r="BD291" s="15"/>
      <c r="BE291" s="15">
        <f t="shared" si="1239"/>
        <v>6500</v>
      </c>
      <c r="BG291" s="15"/>
      <c r="BH291" s="15">
        <f t="shared" si="1240"/>
        <v>6500</v>
      </c>
      <c r="BJ291" s="15">
        <v>0</v>
      </c>
      <c r="BK291" s="235">
        <f t="shared" si="1310"/>
        <v>0</v>
      </c>
      <c r="BM291" s="15">
        <v>5500</v>
      </c>
      <c r="BQ291" s="15"/>
      <c r="BR291" s="15">
        <f t="shared" si="1311"/>
        <v>5500</v>
      </c>
      <c r="BT291" s="15"/>
      <c r="BU291" s="15">
        <f>BR291+BT291</f>
        <v>5500</v>
      </c>
      <c r="BW291" s="15"/>
      <c r="BX291" s="15">
        <f>BU291+BW291</f>
        <v>5500</v>
      </c>
      <c r="BZ291" s="15"/>
      <c r="CA291" s="15">
        <f>BX291+BZ291</f>
        <v>5500</v>
      </c>
      <c r="CC291" s="15"/>
      <c r="CD291" s="15">
        <f>CA291+CC291</f>
        <v>5500</v>
      </c>
      <c r="CF291" s="15"/>
      <c r="CG291" s="15">
        <f>CD291+CF291</f>
        <v>5500</v>
      </c>
      <c r="CI291" s="15"/>
      <c r="CJ291" s="15">
        <f>CG291+CI291</f>
        <v>5500</v>
      </c>
      <c r="CM291" s="15">
        <f>CJ291+CL291</f>
        <v>5500</v>
      </c>
      <c r="CP291" s="15">
        <f>CM291+CO291</f>
        <v>5500</v>
      </c>
      <c r="CS291" s="15">
        <f>CP291+CR291</f>
        <v>5500</v>
      </c>
      <c r="CU291" s="227">
        <v>5000</v>
      </c>
      <c r="CV291" s="15">
        <f>CS291+CU291</f>
        <v>10500</v>
      </c>
      <c r="CX291" s="227"/>
      <c r="CY291" s="15">
        <f>CV291+CX291</f>
        <v>10500</v>
      </c>
      <c r="DA291" s="15">
        <v>10387</v>
      </c>
      <c r="DC291" s="15">
        <v>5000</v>
      </c>
      <c r="DE291" s="15"/>
      <c r="DF291" s="15">
        <f t="shared" si="1256"/>
        <v>5000</v>
      </c>
      <c r="DH291" s="15"/>
      <c r="DI291" s="15">
        <f t="shared" si="1257"/>
        <v>5000</v>
      </c>
      <c r="DK291" s="15"/>
      <c r="DL291" s="15">
        <f t="shared" si="1258"/>
        <v>5000</v>
      </c>
      <c r="DN291" s="15"/>
      <c r="DO291" s="15">
        <f t="shared" si="1259"/>
        <v>5000</v>
      </c>
      <c r="DQ291" s="15"/>
      <c r="DR291" s="15">
        <f t="shared" si="1260"/>
        <v>5000</v>
      </c>
      <c r="DT291" s="15"/>
      <c r="DU291" s="15">
        <f t="shared" si="1261"/>
        <v>5000</v>
      </c>
      <c r="DW291" s="15"/>
      <c r="DX291" s="15">
        <f t="shared" si="1262"/>
        <v>5000</v>
      </c>
      <c r="DZ291" s="15"/>
      <c r="EA291" s="15">
        <f t="shared" si="1263"/>
        <v>5000</v>
      </c>
      <c r="EC291" s="15"/>
      <c r="ED291" s="15">
        <f t="shared" si="1264"/>
        <v>5000</v>
      </c>
      <c r="EF291" s="15"/>
      <c r="EG291" s="15">
        <f t="shared" si="1287"/>
        <v>5000</v>
      </c>
      <c r="EI291" s="15">
        <v>4816</v>
      </c>
      <c r="EK291" s="15">
        <v>5000</v>
      </c>
      <c r="EM291" s="227">
        <v>-5000</v>
      </c>
      <c r="EN291" s="15">
        <f t="shared" si="1290"/>
        <v>0</v>
      </c>
      <c r="EP291" s="15"/>
      <c r="EQ291" s="15">
        <f t="shared" si="1291"/>
        <v>0</v>
      </c>
      <c r="ES291" s="15"/>
      <c r="ET291" s="15">
        <f t="shared" si="1292"/>
        <v>0</v>
      </c>
      <c r="EW291" s="15">
        <f t="shared" si="1293"/>
        <v>0</v>
      </c>
      <c r="EZ291" s="15">
        <f t="shared" si="1294"/>
        <v>0</v>
      </c>
      <c r="FC291" s="15">
        <f t="shared" si="1295"/>
        <v>0</v>
      </c>
      <c r="FF291" s="15">
        <f t="shared" si="1296"/>
        <v>0</v>
      </c>
      <c r="FI291" s="15">
        <f t="shared" si="1297"/>
        <v>0</v>
      </c>
      <c r="FL291" s="15">
        <f t="shared" si="1298"/>
        <v>0</v>
      </c>
      <c r="FO291" s="15">
        <f t="shared" si="1299"/>
        <v>0</v>
      </c>
      <c r="FR291" s="15">
        <v>0</v>
      </c>
      <c r="FW291" s="235" t="e">
        <f t="shared" si="1229"/>
        <v>#DIV/0!</v>
      </c>
    </row>
    <row r="292" spans="1:179" outlineLevel="1">
      <c r="A292" s="1" t="s">
        <v>76</v>
      </c>
      <c r="B292" s="1" t="s">
        <v>402</v>
      </c>
      <c r="C292" s="4" t="s">
        <v>403</v>
      </c>
      <c r="D292" s="43"/>
      <c r="E292" s="34"/>
      <c r="F292" s="43"/>
      <c r="G292" s="34"/>
      <c r="H292" s="46"/>
      <c r="I292" s="36"/>
      <c r="J292" s="14"/>
      <c r="M292" s="17"/>
      <c r="N292" s="17"/>
      <c r="S292" s="118">
        <v>8000</v>
      </c>
      <c r="U292" s="16"/>
      <c r="Y292" s="118">
        <v>8000</v>
      </c>
      <c r="AA292" s="118">
        <v>0</v>
      </c>
      <c r="AB292" s="185">
        <f t="shared" si="1233"/>
        <v>-8000</v>
      </c>
      <c r="AC292" s="187">
        <f t="shared" si="1234"/>
        <v>-8000</v>
      </c>
      <c r="AD292" s="187"/>
      <c r="AE292" s="118">
        <v>0</v>
      </c>
      <c r="AF292" s="182"/>
      <c r="AH292" s="15"/>
      <c r="AX292" s="15"/>
      <c r="BD292" s="15"/>
      <c r="BG292" s="15"/>
      <c r="DE292" s="15"/>
      <c r="DH292" s="15"/>
      <c r="DK292" s="15"/>
      <c r="DN292" s="15"/>
      <c r="DQ292" s="15"/>
      <c r="DT292" s="15"/>
      <c r="DW292" s="15"/>
      <c r="DZ292" s="15"/>
      <c r="EC292" s="15"/>
      <c r="EF292" s="15"/>
      <c r="EK292" s="15"/>
      <c r="EM292" s="15"/>
      <c r="EP292" s="15"/>
      <c r="ES292" s="15"/>
    </row>
    <row r="293" spans="1:179" ht="17.25" customHeight="1" thickBot="1">
      <c r="A293" s="54" t="s">
        <v>76</v>
      </c>
      <c r="B293" s="55" t="s">
        <v>316</v>
      </c>
      <c r="C293" s="56" t="s">
        <v>350</v>
      </c>
      <c r="D293" s="57">
        <f>SUM(D261:D291)</f>
        <v>1052200</v>
      </c>
      <c r="E293" s="58"/>
      <c r="F293" s="57">
        <f>SUM(F261:F291)</f>
        <v>1213487.3399999999</v>
      </c>
      <c r="G293" s="58"/>
      <c r="H293" s="57"/>
      <c r="I293" s="57">
        <f>SUM(I261:I291)</f>
        <v>791510.77600000007</v>
      </c>
      <c r="J293" s="138" t="e">
        <f>I293/$I$332</f>
        <v>#REF!</v>
      </c>
      <c r="K293" s="60"/>
      <c r="L293" s="122">
        <f>SUM(L261:L291)</f>
        <v>779500</v>
      </c>
      <c r="M293" s="61">
        <f>L293/F293-1</f>
        <v>-0.35763647933896026</v>
      </c>
      <c r="N293" s="61">
        <f>L293/I293-1</f>
        <v>-1.517449460473308E-2</v>
      </c>
      <c r="O293" s="17">
        <f>L293/$L$332</f>
        <v>0.18085847203449601</v>
      </c>
      <c r="P293" s="17"/>
      <c r="Q293" s="122">
        <f>SUM(Q261:Q291)</f>
        <v>733510</v>
      </c>
      <c r="R293" s="122">
        <f>SUM(R261:R291)</f>
        <v>327220</v>
      </c>
      <c r="S293" s="122">
        <f>SUM(S261:S292)</f>
        <v>701800</v>
      </c>
      <c r="T293" s="122">
        <f>SUM(T261:T291)</f>
        <v>-39710</v>
      </c>
      <c r="U293" s="155">
        <f>S293/Q293-1</f>
        <v>-4.3230494471786396E-2</v>
      </c>
      <c r="Y293" s="122">
        <f>SUM(Y261:Y291)</f>
        <v>693800</v>
      </c>
      <c r="AA293" s="122">
        <f>SUM(AA261:AA291)</f>
        <v>765300</v>
      </c>
      <c r="AB293" s="122">
        <f>SUM(AB261:AB291)</f>
        <v>71500</v>
      </c>
      <c r="AE293" s="122">
        <f>SUM(AE261:AE291)</f>
        <v>773300</v>
      </c>
      <c r="AF293" s="182"/>
      <c r="AH293" s="122">
        <f>SUM(AH261:AH291)</f>
        <v>695904.53</v>
      </c>
      <c r="AI293" s="17">
        <f t="shared" ref="AI293:AI299" si="1312">AH293/AE293</f>
        <v>0.89991533686796843</v>
      </c>
      <c r="AK293" s="122">
        <f>SUM(AK261:AK291)</f>
        <v>734700</v>
      </c>
      <c r="AL293" s="193">
        <f t="shared" ref="AL293:AL295" si="1313">AK293/L293</f>
        <v>0.94252726106478513</v>
      </c>
      <c r="AM293" s="17">
        <f t="shared" ref="AM293:AM295" si="1314">AK293/AE293</f>
        <v>0.9500840553472133</v>
      </c>
      <c r="AN293" s="17">
        <f t="shared" ref="AN293:AN295" si="1315">AK293/AH293</f>
        <v>1.0557482647799403</v>
      </c>
      <c r="AS293" s="122">
        <f>SUM(AS261:AS291)</f>
        <v>734700</v>
      </c>
      <c r="AU293" s="122">
        <f>SUM(AU261:AU291)</f>
        <v>3000</v>
      </c>
      <c r="AV293" s="122">
        <f>SUM(AV261:AV291)</f>
        <v>737700</v>
      </c>
      <c r="AX293" s="122">
        <f>SUM(AX261:AX291)</f>
        <v>0</v>
      </c>
      <c r="AY293" s="122">
        <f>SUM(AY261:AY291)</f>
        <v>737700</v>
      </c>
      <c r="BA293" s="122">
        <f>SUM(BA261:BA291)</f>
        <v>2000</v>
      </c>
      <c r="BB293" s="122">
        <f>SUM(BB261:BB291)</f>
        <v>739700</v>
      </c>
      <c r="BD293" s="122">
        <f>SUM(BD261:BD291)</f>
        <v>116200</v>
      </c>
      <c r="BE293" s="122">
        <f>SUM(BE261:BE291)</f>
        <v>855900</v>
      </c>
      <c r="BG293" s="122">
        <f>SUM(BG261:BG291)</f>
        <v>-126500</v>
      </c>
      <c r="BH293" s="122">
        <f>SUM(BH261:BH291)</f>
        <v>729400</v>
      </c>
      <c r="BJ293" s="122">
        <f>SUM(BJ261:BJ291)</f>
        <v>643275.87000000011</v>
      </c>
      <c r="BK293" s="236">
        <f t="shared" ref="BK293" si="1316">BJ293/BH293</f>
        <v>0.88192469152728281</v>
      </c>
      <c r="BM293" s="122">
        <f>SUM(BM261:BM291)</f>
        <v>785750</v>
      </c>
      <c r="BN293" s="236">
        <f t="shared" ref="BN293:BN295" si="1317">BM293/BJ293</f>
        <v>1.2214821613004074</v>
      </c>
      <c r="BO293" s="236">
        <f t="shared" ref="BO293:BO295" si="1318">BM293/BH293</f>
        <v>1.0772552783109406</v>
      </c>
      <c r="BQ293" s="122">
        <f>SUM(BQ261:BQ291)</f>
        <v>0</v>
      </c>
      <c r="BR293" s="122">
        <f>SUM(BR261:BR291)</f>
        <v>785750</v>
      </c>
      <c r="BT293" s="122">
        <f>SUM(BT261:BT291)</f>
        <v>5000</v>
      </c>
      <c r="BU293" s="122">
        <f>SUM(BU261:BU291)</f>
        <v>790750</v>
      </c>
      <c r="BW293" s="122">
        <f>SUM(BW261:BW291)</f>
        <v>90000</v>
      </c>
      <c r="BX293" s="122">
        <f>SUM(BX261:BX291)</f>
        <v>880750</v>
      </c>
      <c r="BZ293" s="122">
        <f>SUM(BZ261:BZ291)</f>
        <v>0</v>
      </c>
      <c r="CA293" s="122">
        <f>SUM(CA261:CA291)</f>
        <v>880750</v>
      </c>
      <c r="CC293" s="122">
        <f>SUM(CC261:CC291)</f>
        <v>0</v>
      </c>
      <c r="CD293" s="122">
        <f>SUM(CD261:CD291)</f>
        <v>880750</v>
      </c>
      <c r="CF293" s="122">
        <f>SUM(CF261:CF291)</f>
        <v>20000</v>
      </c>
      <c r="CG293" s="122">
        <f>SUM(CG261:CG291)</f>
        <v>900750</v>
      </c>
      <c r="CI293" s="122">
        <f>SUM(CI261:CI291)</f>
        <v>30000</v>
      </c>
      <c r="CJ293" s="122">
        <f>SUM(CJ261:CJ291)</f>
        <v>930750</v>
      </c>
      <c r="CL293" s="319">
        <f>SUM(CL261:CL291)</f>
        <v>-51000</v>
      </c>
      <c r="CM293" s="122">
        <f>SUM(CM261:CM291)</f>
        <v>879750</v>
      </c>
      <c r="CO293" s="122">
        <f>SUM(CO261:CO291)</f>
        <v>53200</v>
      </c>
      <c r="CP293" s="122">
        <f>SUM(CP261:CP291)</f>
        <v>932950</v>
      </c>
      <c r="CR293" s="122">
        <f>SUM(CR261:CR291)</f>
        <v>0</v>
      </c>
      <c r="CS293" s="122">
        <f>SUM(CS261:CS291)</f>
        <v>932950</v>
      </c>
      <c r="CU293" s="122">
        <f>SUM(CU261:CU291)</f>
        <v>16800</v>
      </c>
      <c r="CV293" s="122">
        <f>SUM(CV261:CV291)</f>
        <v>949750</v>
      </c>
      <c r="CX293" s="122">
        <f>SUM(CX261:CX291)</f>
        <v>0</v>
      </c>
      <c r="CY293" s="122">
        <f>SUM(CY261:CY291)</f>
        <v>949750</v>
      </c>
      <c r="DA293" s="122">
        <f>SUM(DA261:DA291)</f>
        <v>934191.45000000007</v>
      </c>
      <c r="DC293" s="122">
        <f>SUM(DC261:DC291)</f>
        <v>1121200</v>
      </c>
      <c r="DE293" s="122">
        <f>SUM(DE261:DE291)</f>
        <v>0</v>
      </c>
      <c r="DF293" s="122">
        <f>SUM(DF261:DF291)</f>
        <v>1121200</v>
      </c>
      <c r="DH293" s="122">
        <f>SUM(DH261:DH291)</f>
        <v>21000</v>
      </c>
      <c r="DI293" s="122">
        <f>SUM(DI261:DI291)</f>
        <v>1142200</v>
      </c>
      <c r="DK293" s="122">
        <f>SUM(DK261:DK291)</f>
        <v>0</v>
      </c>
      <c r="DL293" s="122">
        <f>SUM(DL261:DL291)</f>
        <v>1142200</v>
      </c>
      <c r="DN293" s="122">
        <f>SUM(DN261:DN291)</f>
        <v>0</v>
      </c>
      <c r="DO293" s="122">
        <f>SUM(DO261:DO291)</f>
        <v>1142200</v>
      </c>
      <c r="DQ293" s="122">
        <f>SUM(DQ261:DQ291)</f>
        <v>-33400</v>
      </c>
      <c r="DR293" s="122">
        <f>SUM(DR261:DR291)</f>
        <v>1108800</v>
      </c>
      <c r="DT293" s="122">
        <f>SUM(DT261:DT291)</f>
        <v>0</v>
      </c>
      <c r="DU293" s="122">
        <f>SUM(DU261:DU291)</f>
        <v>1108800</v>
      </c>
      <c r="DW293" s="122">
        <f>SUM(DW261:DW291)</f>
        <v>2100</v>
      </c>
      <c r="DX293" s="122">
        <f>SUM(DX261:DX291)</f>
        <v>1110900</v>
      </c>
      <c r="DZ293" s="122">
        <f>SUM(DZ261:DZ291)</f>
        <v>-48480</v>
      </c>
      <c r="EA293" s="122">
        <f>SUM(EA261:EA291)</f>
        <v>1062420</v>
      </c>
      <c r="EC293" s="122">
        <f>SUM(EC261:EC291)</f>
        <v>43590</v>
      </c>
      <c r="ED293" s="122">
        <f>SUM(ED261:ED291)</f>
        <v>1106010</v>
      </c>
      <c r="EF293" s="122">
        <f>SUM(EF261:EF291)</f>
        <v>44180</v>
      </c>
      <c r="EG293" s="122">
        <f>SUM(EG261:EG291)</f>
        <v>1150190</v>
      </c>
      <c r="EI293" s="122">
        <f>SUM(EI261:EI291)</f>
        <v>1113147.6299999999</v>
      </c>
      <c r="EK293" s="122">
        <f>SUM(EK261:EK291)</f>
        <v>1110600</v>
      </c>
      <c r="EM293" s="122">
        <f>SUM(EM261:EM291)</f>
        <v>0</v>
      </c>
      <c r="EN293" s="122">
        <f>SUM(EN261:EN291)</f>
        <v>1110600</v>
      </c>
      <c r="EP293" s="122">
        <f>SUM(EP261:EP291)</f>
        <v>0</v>
      </c>
      <c r="EQ293" s="122">
        <f>SUM(EQ261:EQ291)</f>
        <v>1110600</v>
      </c>
      <c r="ES293" s="122">
        <f>SUM(ES261:ES291)</f>
        <v>0</v>
      </c>
      <c r="ET293" s="122">
        <f>SUM(ET261:ET291)</f>
        <v>1110600</v>
      </c>
      <c r="EV293" s="122">
        <f>SUM(EV261:EV291)</f>
        <v>-7000</v>
      </c>
      <c r="EW293" s="122">
        <f>SUM(EW261:EW291)</f>
        <v>1103600</v>
      </c>
      <c r="EY293" s="122">
        <f>SUM(EY261:EY291)</f>
        <v>-10200</v>
      </c>
      <c r="EZ293" s="122">
        <f>SUM(EZ261:EZ291)</f>
        <v>1093400</v>
      </c>
      <c r="FB293" s="122">
        <f>SUM(FB261:FB291)</f>
        <v>-53000</v>
      </c>
      <c r="FC293" s="122">
        <f>SUM(FC261:FC291)</f>
        <v>1040400</v>
      </c>
      <c r="FE293" s="122">
        <f>SUM(FE261:FE291)</f>
        <v>0</v>
      </c>
      <c r="FF293" s="122">
        <f>SUM(FF261:FF291)</f>
        <v>1040400</v>
      </c>
      <c r="FH293" s="122">
        <f>SUM(FH261:FH291)</f>
        <v>0</v>
      </c>
      <c r="FI293" s="122">
        <f>SUM(FI261:FI291)</f>
        <v>1040400</v>
      </c>
      <c r="FK293" s="122">
        <f>SUM(FK261:FK291)</f>
        <v>65000</v>
      </c>
      <c r="FL293" s="122">
        <f>SUM(FL261:FL291)</f>
        <v>1105400</v>
      </c>
      <c r="FN293" s="122">
        <f>SUM(FN261:FN291)</f>
        <v>8400</v>
      </c>
      <c r="FO293" s="122">
        <f>SUM(FO261:FO291)</f>
        <v>1113800</v>
      </c>
      <c r="FQ293" s="122">
        <v>12560</v>
      </c>
      <c r="FR293" s="122">
        <v>1126360</v>
      </c>
      <c r="FT293" s="122">
        <f>SUM(FT261:FT291)</f>
        <v>1102715.42</v>
      </c>
      <c r="FV293" s="122">
        <f>SUM(FV261:FV291)</f>
        <v>1188900</v>
      </c>
      <c r="FW293" s="235">
        <f t="shared" ref="FW293:FW295" si="1319">FV293/FT293</f>
        <v>1.0781566834351515</v>
      </c>
    </row>
    <row r="294" spans="1:179" ht="16.5" customHeight="1" thickTop="1" thickBot="1">
      <c r="A294" s="64" t="s">
        <v>76</v>
      </c>
      <c r="B294" s="65" t="s">
        <v>357</v>
      </c>
      <c r="C294" s="284" t="s">
        <v>351</v>
      </c>
      <c r="D294" s="66">
        <f>D282</f>
        <v>180000</v>
      </c>
      <c r="E294" s="67"/>
      <c r="F294" s="66">
        <f>F282</f>
        <v>180000</v>
      </c>
      <c r="G294" s="67"/>
      <c r="H294" s="66"/>
      <c r="I294" s="66">
        <f>I282</f>
        <v>199</v>
      </c>
      <c r="J294" s="68"/>
      <c r="K294" s="69"/>
      <c r="L294" s="123">
        <f>L282</f>
        <v>10000</v>
      </c>
      <c r="M294" s="70">
        <f>L294/F294-1</f>
        <v>-0.94444444444444442</v>
      </c>
      <c r="N294" s="70">
        <f>L294/I294-1</f>
        <v>49.251256281407038</v>
      </c>
      <c r="Q294" s="123">
        <f>Q282</f>
        <v>24600</v>
      </c>
      <c r="R294" s="123">
        <f>R282</f>
        <v>21766</v>
      </c>
      <c r="S294" s="123">
        <f>S282</f>
        <v>50000</v>
      </c>
      <c r="T294" s="123">
        <f>T282</f>
        <v>25400</v>
      </c>
      <c r="U294" s="155">
        <f>S294/Q294-1</f>
        <v>1.0325203252032522</v>
      </c>
      <c r="Y294" s="123">
        <f>Y282</f>
        <v>50000</v>
      </c>
      <c r="AA294" s="123">
        <f>AA282</f>
        <v>60000</v>
      </c>
      <c r="AB294" s="123">
        <f>AB282</f>
        <v>10000</v>
      </c>
      <c r="AE294" s="123">
        <f>AE282</f>
        <v>60000</v>
      </c>
      <c r="AF294" s="182"/>
      <c r="AH294" s="123">
        <f>AH282</f>
        <v>55195.06</v>
      </c>
      <c r="AI294" s="17">
        <f t="shared" si="1312"/>
        <v>0.91991766666666663</v>
      </c>
      <c r="AK294" s="123">
        <f>AK282</f>
        <v>60500</v>
      </c>
      <c r="AL294" s="193">
        <f t="shared" si="1313"/>
        <v>6.05</v>
      </c>
      <c r="AM294" s="17">
        <f t="shared" si="1314"/>
        <v>1.0083333333333333</v>
      </c>
      <c r="AN294" s="17">
        <f t="shared" si="1315"/>
        <v>1.0961125868873047</v>
      </c>
      <c r="AS294" s="123">
        <f>AS282</f>
        <v>60500</v>
      </c>
      <c r="AU294" s="123">
        <f>AU282</f>
        <v>0</v>
      </c>
      <c r="AV294" s="123">
        <f>AV282</f>
        <v>60500</v>
      </c>
      <c r="AX294" s="123">
        <f>AX282</f>
        <v>0</v>
      </c>
      <c r="AY294" s="123">
        <f>AY282</f>
        <v>60500</v>
      </c>
      <c r="BA294" s="123">
        <f>BA282</f>
        <v>0</v>
      </c>
      <c r="BB294" s="123">
        <f>BB282</f>
        <v>60500</v>
      </c>
      <c r="BD294" s="123">
        <f>BD282</f>
        <v>-15000</v>
      </c>
      <c r="BE294" s="123">
        <f>BE282</f>
        <v>45500</v>
      </c>
      <c r="BG294" s="123">
        <f>BG282</f>
        <v>0</v>
      </c>
      <c r="BH294" s="123">
        <f>BH282</f>
        <v>45500</v>
      </c>
      <c r="BJ294" s="123">
        <f>BJ282</f>
        <v>45051.06</v>
      </c>
      <c r="BK294" s="236">
        <f t="shared" ref="BK294:BK295" si="1320">BJ294/BH294</f>
        <v>0.99013318681318674</v>
      </c>
      <c r="BM294" s="123">
        <f>BM282</f>
        <v>40000</v>
      </c>
      <c r="BN294" s="236">
        <f t="shared" si="1317"/>
        <v>0.88788143941563202</v>
      </c>
      <c r="BO294" s="236">
        <f t="shared" si="1318"/>
        <v>0.87912087912087911</v>
      </c>
      <c r="BQ294" s="123">
        <f>BQ282</f>
        <v>0</v>
      </c>
      <c r="BR294" s="123">
        <f>BR282</f>
        <v>40000</v>
      </c>
      <c r="BT294" s="123">
        <f>BT282</f>
        <v>0</v>
      </c>
      <c r="BU294" s="123">
        <f>BU282</f>
        <v>40000</v>
      </c>
      <c r="BW294" s="123">
        <f>BW282</f>
        <v>0</v>
      </c>
      <c r="BX294" s="123">
        <f>BX282</f>
        <v>40000</v>
      </c>
      <c r="BZ294" s="123">
        <f>BZ282</f>
        <v>0</v>
      </c>
      <c r="CA294" s="123">
        <f>CA282</f>
        <v>40000</v>
      </c>
      <c r="CC294" s="123">
        <f>CC282</f>
        <v>0</v>
      </c>
      <c r="CD294" s="123">
        <f>CD282</f>
        <v>40000</v>
      </c>
      <c r="CF294" s="123">
        <f>CF282</f>
        <v>0</v>
      </c>
      <c r="CG294" s="123">
        <f>CG282</f>
        <v>40000</v>
      </c>
      <c r="CI294" s="123">
        <f>CI282</f>
        <v>0</v>
      </c>
      <c r="CJ294" s="123">
        <f>CJ282</f>
        <v>40000</v>
      </c>
      <c r="CL294" s="319">
        <f>CL282</f>
        <v>0</v>
      </c>
      <c r="CM294" s="123">
        <f>CM282</f>
        <v>40000</v>
      </c>
      <c r="CO294" s="123">
        <f>CO282</f>
        <v>0</v>
      </c>
      <c r="CP294" s="123">
        <f>CP282</f>
        <v>40000</v>
      </c>
      <c r="CR294" s="123">
        <f>CR282</f>
        <v>0</v>
      </c>
      <c r="CS294" s="123">
        <f>CS282</f>
        <v>40000</v>
      </c>
      <c r="CU294" s="123">
        <f>CU282</f>
        <v>12000</v>
      </c>
      <c r="CV294" s="123">
        <f>CV282</f>
        <v>52000</v>
      </c>
      <c r="CX294" s="123">
        <f>CX282</f>
        <v>0</v>
      </c>
      <c r="CY294" s="123">
        <f>CY282</f>
        <v>52000</v>
      </c>
      <c r="DA294" s="123">
        <f>DA282</f>
        <v>51777.52</v>
      </c>
      <c r="DC294" s="123">
        <f>DC282</f>
        <v>50000</v>
      </c>
      <c r="DE294" s="123">
        <f>DE282</f>
        <v>0</v>
      </c>
      <c r="DF294" s="123">
        <f>DF282</f>
        <v>50000</v>
      </c>
      <c r="DH294" s="123">
        <f>DH282</f>
        <v>0</v>
      </c>
      <c r="DI294" s="123">
        <f>DI282</f>
        <v>50000</v>
      </c>
      <c r="DK294" s="123">
        <f>DK282</f>
        <v>0</v>
      </c>
      <c r="DL294" s="123">
        <f>DL282</f>
        <v>50000</v>
      </c>
      <c r="DN294" s="123">
        <f>DN282</f>
        <v>-8000</v>
      </c>
      <c r="DO294" s="123">
        <f>DO282</f>
        <v>42000</v>
      </c>
      <c r="DQ294" s="123">
        <f>DQ282</f>
        <v>0</v>
      </c>
      <c r="DR294" s="123">
        <f>DR282</f>
        <v>42000</v>
      </c>
      <c r="DT294" s="123">
        <f>DT282</f>
        <v>0</v>
      </c>
      <c r="DU294" s="123">
        <f>DU282</f>
        <v>42000</v>
      </c>
      <c r="DW294" s="123">
        <f>DW282</f>
        <v>0</v>
      </c>
      <c r="DX294" s="123">
        <f>DX282</f>
        <v>42000</v>
      </c>
      <c r="DZ294" s="123">
        <f>DZ282</f>
        <v>2000</v>
      </c>
      <c r="EA294" s="123">
        <f>EA282</f>
        <v>44000</v>
      </c>
      <c r="EC294" s="123">
        <f>EC282</f>
        <v>15000</v>
      </c>
      <c r="ED294" s="123">
        <f>ED282</f>
        <v>59000</v>
      </c>
      <c r="EF294" s="123">
        <f>EF282</f>
        <v>22980</v>
      </c>
      <c r="EG294" s="123">
        <f>EG282</f>
        <v>81980</v>
      </c>
      <c r="EI294" s="123">
        <f>EI282</f>
        <v>81367.87</v>
      </c>
      <c r="EK294" s="123">
        <f>EK282</f>
        <v>60000</v>
      </c>
      <c r="EM294" s="123">
        <f>EM282</f>
        <v>0</v>
      </c>
      <c r="EN294" s="123">
        <f>EN282</f>
        <v>60000</v>
      </c>
      <c r="EP294" s="123">
        <f>EP282</f>
        <v>0</v>
      </c>
      <c r="EQ294" s="123">
        <f>EQ282</f>
        <v>60000</v>
      </c>
      <c r="ES294" s="123">
        <f>ES282</f>
        <v>0</v>
      </c>
      <c r="ET294" s="123">
        <f>ET282</f>
        <v>60000</v>
      </c>
      <c r="EV294" s="123">
        <f>EV282</f>
        <v>0</v>
      </c>
      <c r="EW294" s="123">
        <f>EW282</f>
        <v>60000</v>
      </c>
      <c r="EY294" s="123">
        <f>EY282</f>
        <v>-10200</v>
      </c>
      <c r="EZ294" s="123">
        <f>EZ282</f>
        <v>49800</v>
      </c>
      <c r="FB294" s="123">
        <f>FB282</f>
        <v>-15000</v>
      </c>
      <c r="FC294" s="123">
        <f>FC282</f>
        <v>34800</v>
      </c>
      <c r="FE294" s="123">
        <f>FE282</f>
        <v>0</v>
      </c>
      <c r="FF294" s="123">
        <f>FF282</f>
        <v>34800</v>
      </c>
      <c r="FH294" s="123">
        <f>FH282</f>
        <v>0</v>
      </c>
      <c r="FI294" s="123">
        <f>FI282</f>
        <v>34800</v>
      </c>
      <c r="FK294" s="123">
        <f>FK282</f>
        <v>38000</v>
      </c>
      <c r="FL294" s="123">
        <f>FL282</f>
        <v>72800</v>
      </c>
      <c r="FN294" s="123">
        <f>FN282</f>
        <v>0</v>
      </c>
      <c r="FO294" s="123">
        <f>FO282</f>
        <v>72800</v>
      </c>
      <c r="FQ294" s="123">
        <v>560</v>
      </c>
      <c r="FR294" s="123">
        <v>73360</v>
      </c>
      <c r="FT294" s="123">
        <f>FT282</f>
        <v>73355.58</v>
      </c>
      <c r="FV294" s="123">
        <f>FV282</f>
        <v>75000</v>
      </c>
      <c r="FW294" s="235">
        <f t="shared" si="1319"/>
        <v>1.0224171085553411</v>
      </c>
    </row>
    <row r="295" spans="1:179" ht="17.25" customHeight="1" thickTop="1" thickBot="1">
      <c r="A295" s="75" t="s">
        <v>76</v>
      </c>
      <c r="B295" s="76" t="s">
        <v>277</v>
      </c>
      <c r="C295" s="285" t="s">
        <v>412</v>
      </c>
      <c r="D295" s="167"/>
      <c r="E295" s="168"/>
      <c r="F295" s="167"/>
      <c r="G295" s="168"/>
      <c r="H295" s="167"/>
      <c r="I295" s="167"/>
      <c r="J295" s="169"/>
      <c r="K295" s="170"/>
      <c r="L295" s="171"/>
      <c r="M295" s="172"/>
      <c r="N295" s="172"/>
      <c r="O295" s="173"/>
      <c r="P295" s="173"/>
      <c r="Q295" s="171"/>
      <c r="R295" s="171"/>
      <c r="S295" s="171"/>
      <c r="T295" s="171"/>
      <c r="U295" s="156"/>
      <c r="V295" s="173"/>
      <c r="W295" s="173"/>
      <c r="X295" s="173"/>
      <c r="Y295" s="124">
        <f>Y292</f>
        <v>8000</v>
      </c>
      <c r="AA295" s="124">
        <f>AA292</f>
        <v>0</v>
      </c>
      <c r="AB295" s="124">
        <f>AB292</f>
        <v>-8000</v>
      </c>
      <c r="AE295" s="124">
        <f>AE292</f>
        <v>0</v>
      </c>
      <c r="AF295" s="182"/>
      <c r="AH295" s="124">
        <f>AH292</f>
        <v>0</v>
      </c>
      <c r="AI295" s="17" t="e">
        <f t="shared" si="1312"/>
        <v>#DIV/0!</v>
      </c>
      <c r="AK295" s="124">
        <f>AK292</f>
        <v>0</v>
      </c>
      <c r="AL295" s="193" t="e">
        <f t="shared" si="1313"/>
        <v>#DIV/0!</v>
      </c>
      <c r="AM295" s="17" t="e">
        <f t="shared" si="1314"/>
        <v>#DIV/0!</v>
      </c>
      <c r="AN295" s="17" t="e">
        <f t="shared" si="1315"/>
        <v>#DIV/0!</v>
      </c>
      <c r="AS295" s="124">
        <f>AS292</f>
        <v>0</v>
      </c>
      <c r="AU295" s="124">
        <f>AU292</f>
        <v>0</v>
      </c>
      <c r="AV295" s="124">
        <f>AV292</f>
        <v>0</v>
      </c>
      <c r="AX295" s="124">
        <f>AX292</f>
        <v>0</v>
      </c>
      <c r="AY295" s="124">
        <f>AY292</f>
        <v>0</v>
      </c>
      <c r="BA295" s="124">
        <f>BA292</f>
        <v>0</v>
      </c>
      <c r="BB295" s="124">
        <f>BB292</f>
        <v>0</v>
      </c>
      <c r="BD295" s="124">
        <f>BD292</f>
        <v>0</v>
      </c>
      <c r="BE295" s="124">
        <f>BE292</f>
        <v>0</v>
      </c>
      <c r="BG295" s="124">
        <f>BG292</f>
        <v>0</v>
      </c>
      <c r="BH295" s="124">
        <f>BH292</f>
        <v>0</v>
      </c>
      <c r="BJ295" s="124">
        <f>BJ292</f>
        <v>0</v>
      </c>
      <c r="BK295" s="237" t="e">
        <f t="shared" si="1320"/>
        <v>#DIV/0!</v>
      </c>
      <c r="BM295" s="124">
        <f>BM292</f>
        <v>0</v>
      </c>
      <c r="BN295" s="237" t="e">
        <f t="shared" si="1317"/>
        <v>#DIV/0!</v>
      </c>
      <c r="BO295" s="237" t="e">
        <f t="shared" si="1318"/>
        <v>#DIV/0!</v>
      </c>
      <c r="BQ295" s="124">
        <f>BQ292</f>
        <v>0</v>
      </c>
      <c r="BR295" s="124">
        <f>BR292</f>
        <v>0</v>
      </c>
      <c r="BT295" s="124">
        <f>BT292</f>
        <v>0</v>
      </c>
      <c r="BU295" s="124">
        <f>BU292</f>
        <v>0</v>
      </c>
      <c r="BW295" s="124">
        <f>BW292</f>
        <v>0</v>
      </c>
      <c r="BX295" s="124">
        <f>BX292</f>
        <v>0</v>
      </c>
      <c r="BZ295" s="124">
        <f>BZ292</f>
        <v>0</v>
      </c>
      <c r="CA295" s="124">
        <f>CA292</f>
        <v>0</v>
      </c>
      <c r="CC295" s="124">
        <f>CC292</f>
        <v>0</v>
      </c>
      <c r="CD295" s="124">
        <f>CD292</f>
        <v>0</v>
      </c>
      <c r="CF295" s="124">
        <f>CF292</f>
        <v>0</v>
      </c>
      <c r="CG295" s="124">
        <f>CG292</f>
        <v>0</v>
      </c>
      <c r="CI295" s="124">
        <f>CI292</f>
        <v>0</v>
      </c>
      <c r="CJ295" s="124">
        <f>CJ292</f>
        <v>0</v>
      </c>
      <c r="CL295" s="319">
        <f>CL292</f>
        <v>0</v>
      </c>
      <c r="CM295" s="124">
        <f>CM292</f>
        <v>0</v>
      </c>
      <c r="CO295" s="124">
        <f>CO292</f>
        <v>0</v>
      </c>
      <c r="CP295" s="124">
        <f>CP292</f>
        <v>0</v>
      </c>
      <c r="CR295" s="124">
        <f>CR292</f>
        <v>0</v>
      </c>
      <c r="CS295" s="124">
        <f>CS292</f>
        <v>0</v>
      </c>
      <c r="CU295" s="124">
        <f>CU292</f>
        <v>0</v>
      </c>
      <c r="CV295" s="124">
        <f>CV292</f>
        <v>0</v>
      </c>
      <c r="CX295" s="124">
        <f>CX292</f>
        <v>0</v>
      </c>
      <c r="CY295" s="124">
        <f>CY292</f>
        <v>0</v>
      </c>
      <c r="DA295" s="124">
        <f>DA292</f>
        <v>0</v>
      </c>
      <c r="DC295" s="124">
        <f>DC292</f>
        <v>0</v>
      </c>
      <c r="DE295" s="124">
        <f>DE292</f>
        <v>0</v>
      </c>
      <c r="DF295" s="124">
        <f>DF292</f>
        <v>0</v>
      </c>
      <c r="DH295" s="124">
        <f>DH292</f>
        <v>0</v>
      </c>
      <c r="DI295" s="124">
        <f>DI292</f>
        <v>0</v>
      </c>
      <c r="DK295" s="124">
        <f>DK292</f>
        <v>0</v>
      </c>
      <c r="DL295" s="124">
        <f>DL292</f>
        <v>0</v>
      </c>
      <c r="DN295" s="124">
        <f>DN292</f>
        <v>0</v>
      </c>
      <c r="DO295" s="124">
        <f>DO292</f>
        <v>0</v>
      </c>
      <c r="DQ295" s="124">
        <f>DQ292</f>
        <v>0</v>
      </c>
      <c r="DR295" s="124">
        <f>DR292</f>
        <v>0</v>
      </c>
      <c r="DT295" s="124">
        <f>DT292</f>
        <v>0</v>
      </c>
      <c r="DU295" s="124">
        <f>DU292</f>
        <v>0</v>
      </c>
      <c r="DW295" s="124">
        <f>DW292</f>
        <v>0</v>
      </c>
      <c r="DX295" s="124">
        <f>DX292</f>
        <v>0</v>
      </c>
      <c r="DZ295" s="124">
        <f>DZ292</f>
        <v>0</v>
      </c>
      <c r="EA295" s="124">
        <f>EA292</f>
        <v>0</v>
      </c>
      <c r="EC295" s="124">
        <f>EC292</f>
        <v>0</v>
      </c>
      <c r="ED295" s="124">
        <f>ED292</f>
        <v>0</v>
      </c>
      <c r="EF295" s="124">
        <f>EF292</f>
        <v>0</v>
      </c>
      <c r="EG295" s="124">
        <f>EG292</f>
        <v>0</v>
      </c>
      <c r="EI295" s="124">
        <f>EI292</f>
        <v>0</v>
      </c>
      <c r="EK295" s="124">
        <f>EK292</f>
        <v>0</v>
      </c>
      <c r="EM295" s="124">
        <f>EM292</f>
        <v>0</v>
      </c>
      <c r="EN295" s="124">
        <f>EN292</f>
        <v>0</v>
      </c>
      <c r="EP295" s="124">
        <f>EP292</f>
        <v>0</v>
      </c>
      <c r="EQ295" s="124">
        <f>EQ292</f>
        <v>0</v>
      </c>
      <c r="ES295" s="124">
        <f>ES292</f>
        <v>0</v>
      </c>
      <c r="ET295" s="124">
        <f>ET292</f>
        <v>0</v>
      </c>
      <c r="EV295" s="124">
        <f>EV292</f>
        <v>0</v>
      </c>
      <c r="EW295" s="124">
        <f>EW292</f>
        <v>0</v>
      </c>
      <c r="EY295" s="124">
        <f>EY292</f>
        <v>0</v>
      </c>
      <c r="EZ295" s="124">
        <f>EZ292</f>
        <v>0</v>
      </c>
      <c r="FB295" s="124">
        <f>FB292</f>
        <v>0</v>
      </c>
      <c r="FC295" s="124">
        <f>FC292</f>
        <v>0</v>
      </c>
      <c r="FE295" s="124">
        <f>FE292</f>
        <v>0</v>
      </c>
      <c r="FF295" s="124">
        <f>FF292</f>
        <v>0</v>
      </c>
      <c r="FH295" s="124">
        <f>FH292</f>
        <v>0</v>
      </c>
      <c r="FI295" s="124">
        <f>FI292</f>
        <v>0</v>
      </c>
      <c r="FK295" s="124">
        <f>FK292</f>
        <v>0</v>
      </c>
      <c r="FL295" s="124">
        <f>FL292</f>
        <v>0</v>
      </c>
      <c r="FN295" s="124">
        <f>FN292</f>
        <v>0</v>
      </c>
      <c r="FO295" s="124">
        <f>FO292</f>
        <v>0</v>
      </c>
      <c r="FQ295" s="124">
        <v>0</v>
      </c>
      <c r="FR295" s="124">
        <v>0</v>
      </c>
      <c r="FT295" s="124">
        <f>FT292</f>
        <v>0</v>
      </c>
      <c r="FV295" s="124">
        <f>FV292</f>
        <v>0</v>
      </c>
      <c r="FW295" s="235" t="e">
        <f t="shared" si="1319"/>
        <v>#DIV/0!</v>
      </c>
    </row>
    <row r="296" spans="1:179" ht="15.75" customHeight="1" thickTop="1">
      <c r="A296" s="13" t="s">
        <v>601</v>
      </c>
      <c r="B296" s="10" t="s">
        <v>146</v>
      </c>
      <c r="C296" s="4" t="s">
        <v>147</v>
      </c>
      <c r="D296" s="36"/>
      <c r="E296" s="51"/>
      <c r="F296" s="36"/>
      <c r="G296" s="51"/>
      <c r="H296" s="36"/>
      <c r="I296" s="36"/>
      <c r="J296" s="14"/>
      <c r="L296" s="121"/>
      <c r="M296" s="176"/>
      <c r="N296" s="176"/>
      <c r="Q296" s="121"/>
      <c r="R296" s="121"/>
      <c r="S296" s="121"/>
      <c r="T296" s="121"/>
      <c r="U296" s="223"/>
      <c r="V296"/>
      <c r="Y296" s="121"/>
      <c r="AA296" s="121"/>
      <c r="AB296" s="121"/>
      <c r="AE296" s="121"/>
      <c r="AF296" s="187"/>
      <c r="AH296" s="121"/>
      <c r="AI296" s="224"/>
      <c r="AK296" s="121"/>
      <c r="AL296" s="193"/>
      <c r="AM296" s="224"/>
      <c r="AN296" s="224"/>
      <c r="AP296"/>
      <c r="AS296" s="121"/>
      <c r="AU296" s="121"/>
      <c r="AV296" s="121"/>
      <c r="AX296" s="121"/>
      <c r="AY296" s="121"/>
      <c r="BA296" s="121"/>
      <c r="BB296" s="121"/>
      <c r="BD296" s="121"/>
      <c r="BE296" s="121"/>
      <c r="BG296" s="121"/>
      <c r="BH296" s="121"/>
      <c r="BJ296" s="121"/>
      <c r="BK296" s="291"/>
      <c r="BM296" s="121"/>
      <c r="BN296" s="291"/>
      <c r="BO296" s="291"/>
      <c r="BQ296" s="121"/>
      <c r="BR296" s="121"/>
      <c r="BT296" s="121"/>
      <c r="BU296" s="121"/>
      <c r="BW296" s="121"/>
      <c r="BX296" s="121"/>
      <c r="BZ296" s="121"/>
      <c r="CA296" s="121"/>
      <c r="CC296" s="121"/>
      <c r="CD296" s="121"/>
      <c r="CF296" s="121"/>
      <c r="CG296" s="121"/>
      <c r="CI296" s="121"/>
      <c r="CJ296" s="121"/>
      <c r="CL296" s="121"/>
      <c r="CM296" s="121"/>
      <c r="CO296" s="121"/>
      <c r="CP296" s="121"/>
      <c r="CR296" s="121"/>
      <c r="CS296" s="121"/>
      <c r="CU296" s="121"/>
      <c r="CV296" s="121"/>
      <c r="CX296" s="121"/>
      <c r="CY296" s="121"/>
      <c r="DA296" s="121"/>
      <c r="DC296" s="121"/>
      <c r="DE296" s="299">
        <v>5000</v>
      </c>
      <c r="DF296" s="15">
        <f t="shared" ref="DF296:DF299" si="1321">DC296+DE296</f>
        <v>5000</v>
      </c>
      <c r="DH296" s="36"/>
      <c r="DI296" s="15">
        <f t="shared" ref="DI296" si="1322">DF296+DH296</f>
        <v>5000</v>
      </c>
      <c r="DK296" s="36"/>
      <c r="DL296" s="15">
        <f t="shared" ref="DL296" si="1323">DI296+DK296</f>
        <v>5000</v>
      </c>
      <c r="DN296" s="36"/>
      <c r="DO296" s="15">
        <f t="shared" ref="DO296" si="1324">DL296+DN296</f>
        <v>5000</v>
      </c>
      <c r="DQ296" s="36"/>
      <c r="DR296" s="15">
        <f t="shared" ref="DR296" si="1325">DO296+DQ296</f>
        <v>5000</v>
      </c>
      <c r="DT296" s="299">
        <v>7200</v>
      </c>
      <c r="DU296" s="15">
        <f t="shared" ref="DU296" si="1326">DR296+DT296</f>
        <v>12200</v>
      </c>
      <c r="DW296" s="36"/>
      <c r="DX296" s="15">
        <f t="shared" ref="DX296" si="1327">DU296+DW296</f>
        <v>12200</v>
      </c>
      <c r="DZ296" s="36"/>
      <c r="EA296" s="15">
        <f t="shared" ref="EA296" si="1328">DX296+DZ296</f>
        <v>12200</v>
      </c>
      <c r="EC296" s="299">
        <v>11350</v>
      </c>
      <c r="ED296" s="15">
        <f t="shared" ref="ED296" si="1329">EA296+EC296</f>
        <v>23550</v>
      </c>
      <c r="EF296" s="36"/>
      <c r="EG296" s="15">
        <f t="shared" ref="EG296" si="1330">ED296+EF296</f>
        <v>23550</v>
      </c>
      <c r="EI296" s="36">
        <v>23532.57</v>
      </c>
      <c r="EK296" s="36">
        <v>25000</v>
      </c>
      <c r="EM296" s="36"/>
      <c r="EN296" s="15">
        <f t="shared" ref="EN296" si="1331">EK296+EM296</f>
        <v>25000</v>
      </c>
      <c r="EP296" s="36"/>
      <c r="EQ296" s="15">
        <f t="shared" ref="EQ296" si="1332">EN296+EP296</f>
        <v>25000</v>
      </c>
      <c r="ES296" s="36"/>
      <c r="ET296" s="15">
        <f t="shared" ref="ET296" si="1333">EQ296+ES296</f>
        <v>25000</v>
      </c>
      <c r="EV296" s="36"/>
      <c r="EW296" s="15">
        <f t="shared" ref="EW296" si="1334">ET296+EV296</f>
        <v>25000</v>
      </c>
      <c r="EY296" s="36"/>
      <c r="EZ296" s="15">
        <f t="shared" ref="EZ296" si="1335">EW296+EY296</f>
        <v>25000</v>
      </c>
      <c r="FB296" s="36"/>
      <c r="FC296" s="15">
        <f t="shared" ref="FC296" si="1336">EZ296+FB296</f>
        <v>25000</v>
      </c>
      <c r="FE296" s="36"/>
      <c r="FF296" s="15">
        <f t="shared" ref="FF296" si="1337">FC296+FE296</f>
        <v>25000</v>
      </c>
      <c r="FH296" s="36"/>
      <c r="FI296" s="15">
        <f t="shared" ref="FI296" si="1338">FF296+FH296</f>
        <v>25000</v>
      </c>
      <c r="FK296" s="36"/>
      <c r="FL296" s="15">
        <f t="shared" ref="FL296" si="1339">FI296+FK296</f>
        <v>25000</v>
      </c>
      <c r="FN296" s="299">
        <v>-25000</v>
      </c>
      <c r="FO296" s="15">
        <f t="shared" ref="FO296:FO297" si="1340">FL296+FN296</f>
        <v>0</v>
      </c>
      <c r="FQ296" s="36"/>
      <c r="FR296" s="15">
        <v>0</v>
      </c>
      <c r="FT296" s="36"/>
      <c r="FV296" s="36"/>
    </row>
    <row r="297" spans="1:179" ht="15.75" customHeight="1">
      <c r="A297" s="13" t="s">
        <v>601</v>
      </c>
      <c r="B297" s="10" t="s">
        <v>150</v>
      </c>
      <c r="C297" s="4" t="s">
        <v>151</v>
      </c>
      <c r="D297" s="36"/>
      <c r="E297" s="51"/>
      <c r="F297" s="36"/>
      <c r="G297" s="51"/>
      <c r="H297" s="36"/>
      <c r="I297" s="36"/>
      <c r="J297" s="14"/>
      <c r="L297" s="121"/>
      <c r="M297" s="176"/>
      <c r="N297" s="176"/>
      <c r="Q297" s="121"/>
      <c r="R297" s="121"/>
      <c r="S297" s="121"/>
      <c r="T297" s="121"/>
      <c r="U297" s="223"/>
      <c r="V297"/>
      <c r="Y297" s="121"/>
      <c r="AA297" s="121"/>
      <c r="AB297" s="121"/>
      <c r="AE297" s="121"/>
      <c r="AF297" s="187"/>
      <c r="AH297" s="121"/>
      <c r="AI297" s="224"/>
      <c r="AK297" s="121"/>
      <c r="AL297" s="193"/>
      <c r="AM297" s="224"/>
      <c r="AN297" s="224"/>
      <c r="AP297"/>
      <c r="AS297" s="121"/>
      <c r="AU297" s="121"/>
      <c r="AV297" s="121"/>
      <c r="AX297" s="121"/>
      <c r="AY297" s="121"/>
      <c r="BA297" s="121"/>
      <c r="BB297" s="121"/>
      <c r="BD297" s="121"/>
      <c r="BE297" s="121"/>
      <c r="BG297" s="121"/>
      <c r="BH297" s="121"/>
      <c r="BJ297" s="121"/>
      <c r="BK297" s="291"/>
      <c r="BM297" s="121"/>
      <c r="BN297" s="291"/>
      <c r="BO297" s="291"/>
      <c r="BQ297" s="121"/>
      <c r="BR297" s="121"/>
      <c r="BT297" s="121"/>
      <c r="BU297" s="121"/>
      <c r="BW297" s="121"/>
      <c r="BX297" s="121"/>
      <c r="BZ297" s="121"/>
      <c r="CA297" s="121"/>
      <c r="CC297" s="121"/>
      <c r="CD297" s="121"/>
      <c r="CF297" s="121"/>
      <c r="CG297" s="121"/>
      <c r="CI297" s="121"/>
      <c r="CJ297" s="121"/>
      <c r="CL297" s="121"/>
      <c r="CM297" s="121"/>
      <c r="CO297" s="121"/>
      <c r="CP297" s="121"/>
      <c r="CR297" s="121"/>
      <c r="CS297" s="121"/>
      <c r="CU297" s="121"/>
      <c r="CV297" s="121"/>
      <c r="CX297" s="121"/>
      <c r="CY297" s="121"/>
      <c r="DA297" s="121"/>
      <c r="DC297" s="121"/>
      <c r="DE297" s="299"/>
      <c r="DF297" s="15"/>
      <c r="DH297" s="36"/>
      <c r="DI297" s="15"/>
      <c r="DK297" s="36"/>
      <c r="DL297" s="15"/>
      <c r="DN297" s="36"/>
      <c r="DO297" s="15"/>
      <c r="DQ297" s="36"/>
      <c r="DR297" s="15"/>
      <c r="DT297" s="299"/>
      <c r="DU297" s="15"/>
      <c r="DW297" s="36"/>
      <c r="DX297" s="15"/>
      <c r="DZ297" s="36"/>
      <c r="EA297" s="15"/>
      <c r="EC297" s="299"/>
      <c r="ED297" s="15"/>
      <c r="EF297" s="36"/>
      <c r="EG297" s="15"/>
      <c r="EI297" s="36"/>
      <c r="EK297" s="36"/>
      <c r="EM297" s="36"/>
      <c r="EN297" s="15"/>
      <c r="EP297" s="36"/>
      <c r="EQ297" s="15"/>
      <c r="ES297" s="36"/>
      <c r="ET297" s="15"/>
      <c r="EV297" s="36"/>
      <c r="EW297" s="15"/>
      <c r="EY297" s="36"/>
      <c r="EZ297" s="15"/>
      <c r="FB297" s="36"/>
      <c r="FC297" s="15"/>
      <c r="FE297" s="36"/>
      <c r="FF297" s="15"/>
      <c r="FH297" s="36"/>
      <c r="FI297" s="15"/>
      <c r="FK297" s="36"/>
      <c r="FL297" s="15"/>
      <c r="FN297" s="299">
        <v>25000</v>
      </c>
      <c r="FO297" s="15">
        <f t="shared" si="1340"/>
        <v>25000</v>
      </c>
      <c r="FQ297" s="36"/>
      <c r="FR297" s="15">
        <v>25000</v>
      </c>
      <c r="FT297" s="36">
        <v>23595</v>
      </c>
      <c r="FV297" s="36">
        <v>25000</v>
      </c>
      <c r="FW297" s="235">
        <f t="shared" ref="FW297:FW299" si="1341">FV297/FT297</f>
        <v>1.0595465140919686</v>
      </c>
    </row>
    <row r="298" spans="1:179" ht="17.25" customHeight="1" thickBot="1">
      <c r="A298" s="54" t="s">
        <v>601</v>
      </c>
      <c r="B298" s="55" t="s">
        <v>316</v>
      </c>
      <c r="C298" s="56" t="s">
        <v>602</v>
      </c>
      <c r="D298" s="36"/>
      <c r="E298" s="51"/>
      <c r="F298" s="36"/>
      <c r="G298" s="51"/>
      <c r="H298" s="36"/>
      <c r="I298" s="36"/>
      <c r="J298" s="14"/>
      <c r="L298" s="121"/>
      <c r="M298" s="176"/>
      <c r="N298" s="176"/>
      <c r="Q298" s="121"/>
      <c r="R298" s="121"/>
      <c r="S298" s="121"/>
      <c r="T298" s="121"/>
      <c r="U298" s="223"/>
      <c r="V298"/>
      <c r="Y298" s="121"/>
      <c r="AA298" s="121"/>
      <c r="AB298" s="121"/>
      <c r="AE298" s="121"/>
      <c r="AF298" s="187"/>
      <c r="AH298" s="121"/>
      <c r="AI298" s="224"/>
      <c r="AK298" s="121"/>
      <c r="AL298" s="193"/>
      <c r="AM298" s="224"/>
      <c r="AN298" s="224"/>
      <c r="AP298"/>
      <c r="AS298" s="121"/>
      <c r="AU298" s="121"/>
      <c r="AV298" s="121"/>
      <c r="AX298" s="121"/>
      <c r="AY298" s="121"/>
      <c r="BA298" s="121"/>
      <c r="BB298" s="121"/>
      <c r="BD298" s="121"/>
      <c r="BE298" s="121"/>
      <c r="BG298" s="121"/>
      <c r="BH298" s="121"/>
      <c r="BJ298" s="121"/>
      <c r="BK298" s="291"/>
      <c r="BM298" s="121"/>
      <c r="BN298" s="291"/>
      <c r="BO298" s="291"/>
      <c r="BQ298" s="121"/>
      <c r="BR298" s="121"/>
      <c r="BT298" s="121"/>
      <c r="BU298" s="121"/>
      <c r="BW298" s="121"/>
      <c r="BX298" s="121"/>
      <c r="BZ298" s="121"/>
      <c r="CA298" s="121"/>
      <c r="CC298" s="121"/>
      <c r="CD298" s="121"/>
      <c r="CF298" s="121"/>
      <c r="CG298" s="121"/>
      <c r="CI298" s="121"/>
      <c r="CJ298" s="121"/>
      <c r="CL298" s="121"/>
      <c r="CM298" s="121"/>
      <c r="CO298" s="121"/>
      <c r="CP298" s="121"/>
      <c r="CR298" s="121"/>
      <c r="CS298" s="121"/>
      <c r="CU298" s="121"/>
      <c r="CV298" s="121"/>
      <c r="CX298" s="121"/>
      <c r="CY298" s="121"/>
      <c r="DA298" s="122">
        <f>DA296</f>
        <v>0</v>
      </c>
      <c r="DC298" s="122">
        <f>DC296</f>
        <v>0</v>
      </c>
      <c r="DE298" s="122">
        <f>DE296</f>
        <v>5000</v>
      </c>
      <c r="DF298" s="122">
        <f>DF296</f>
        <v>5000</v>
      </c>
      <c r="DH298" s="122">
        <f>DH296</f>
        <v>0</v>
      </c>
      <c r="DI298" s="122">
        <f>DI296</f>
        <v>5000</v>
      </c>
      <c r="DK298" s="122">
        <f>DK296</f>
        <v>0</v>
      </c>
      <c r="DL298" s="122">
        <f>DL296</f>
        <v>5000</v>
      </c>
      <c r="DN298" s="122">
        <f>DN296</f>
        <v>0</v>
      </c>
      <c r="DO298" s="122">
        <f>DO296</f>
        <v>5000</v>
      </c>
      <c r="DQ298" s="122">
        <f>DQ296</f>
        <v>0</v>
      </c>
      <c r="DR298" s="122">
        <f>DR296</f>
        <v>5000</v>
      </c>
      <c r="DT298" s="122">
        <f>DT296</f>
        <v>7200</v>
      </c>
      <c r="DU298" s="122">
        <f>DU296</f>
        <v>12200</v>
      </c>
      <c r="DW298" s="122">
        <f>DW296</f>
        <v>0</v>
      </c>
      <c r="DX298" s="122">
        <f>DX296</f>
        <v>12200</v>
      </c>
      <c r="DZ298" s="122">
        <f>DZ296</f>
        <v>0</v>
      </c>
      <c r="EA298" s="122">
        <f>EA296</f>
        <v>12200</v>
      </c>
      <c r="EC298" s="122">
        <f>EC296</f>
        <v>11350</v>
      </c>
      <c r="ED298" s="122">
        <f>ED296</f>
        <v>23550</v>
      </c>
      <c r="EF298" s="122">
        <f>EF296</f>
        <v>0</v>
      </c>
      <c r="EG298" s="122">
        <f>EG296</f>
        <v>23550</v>
      </c>
      <c r="EI298" s="122">
        <f>EI296</f>
        <v>23532.57</v>
      </c>
      <c r="EK298" s="122">
        <f>EK296</f>
        <v>25000</v>
      </c>
      <c r="EM298" s="122">
        <f>EM296</f>
        <v>0</v>
      </c>
      <c r="EN298" s="122">
        <f>EN296</f>
        <v>25000</v>
      </c>
      <c r="EP298" s="122">
        <f>EP296</f>
        <v>0</v>
      </c>
      <c r="EQ298" s="122">
        <f>EQ296</f>
        <v>25000</v>
      </c>
      <c r="ES298" s="122">
        <f>ES296</f>
        <v>0</v>
      </c>
      <c r="ET298" s="122">
        <f>ET296</f>
        <v>25000</v>
      </c>
      <c r="EV298" s="122">
        <f>EV296</f>
        <v>0</v>
      </c>
      <c r="EW298" s="122">
        <f>EW296</f>
        <v>25000</v>
      </c>
      <c r="EY298" s="122">
        <f>EY296</f>
        <v>0</v>
      </c>
      <c r="EZ298" s="122">
        <f>EZ296</f>
        <v>25000</v>
      </c>
      <c r="FB298" s="122">
        <f>FB296</f>
        <v>0</v>
      </c>
      <c r="FC298" s="122">
        <f>FC296</f>
        <v>25000</v>
      </c>
      <c r="FE298" s="122">
        <f>FE296</f>
        <v>0</v>
      </c>
      <c r="FF298" s="122">
        <f>FF296</f>
        <v>25000</v>
      </c>
      <c r="FH298" s="122">
        <f>FH296</f>
        <v>0</v>
      </c>
      <c r="FI298" s="122">
        <f>FI296</f>
        <v>25000</v>
      </c>
      <c r="FK298" s="122">
        <f>FK296</f>
        <v>0</v>
      </c>
      <c r="FL298" s="122">
        <f>FL296</f>
        <v>25000</v>
      </c>
      <c r="FN298" s="122">
        <f>SUM(FN296:FN297)</f>
        <v>0</v>
      </c>
      <c r="FO298" s="122">
        <f>SUM(FO296:FO297)</f>
        <v>25000</v>
      </c>
      <c r="FQ298" s="122">
        <v>0</v>
      </c>
      <c r="FR298" s="122">
        <v>25000</v>
      </c>
      <c r="FT298" s="122">
        <f>SUM(FT296:FT297)</f>
        <v>23595</v>
      </c>
      <c r="FV298" s="122">
        <f>SUM(FV296:FV297)</f>
        <v>25000</v>
      </c>
      <c r="FW298" s="235">
        <f t="shared" si="1341"/>
        <v>1.0595465140919686</v>
      </c>
    </row>
    <row r="299" spans="1:179" ht="15.75" outlineLevel="1" thickTop="1">
      <c r="A299" s="1" t="s">
        <v>86</v>
      </c>
      <c r="B299" s="1" t="s">
        <v>229</v>
      </c>
      <c r="C299" s="4" t="s">
        <v>230</v>
      </c>
      <c r="D299" s="43">
        <v>200</v>
      </c>
      <c r="E299" s="34">
        <v>57.7</v>
      </c>
      <c r="F299" s="43">
        <v>200</v>
      </c>
      <c r="G299" s="34">
        <v>57.7</v>
      </c>
      <c r="H299" s="46">
        <v>115.4</v>
      </c>
      <c r="I299" s="36">
        <f>H299*I2</f>
        <v>138.47999999999999</v>
      </c>
      <c r="J299" s="14"/>
      <c r="K299" t="s">
        <v>332</v>
      </c>
      <c r="L299" s="118">
        <v>200</v>
      </c>
      <c r="M299" s="17">
        <f>L299/F299-1</f>
        <v>0</v>
      </c>
      <c r="N299" s="17">
        <f>L299/I299-1</f>
        <v>0.44425187752744089</v>
      </c>
      <c r="Q299" s="118">
        <v>200</v>
      </c>
      <c r="R299" s="15">
        <v>67</v>
      </c>
      <c r="S299" s="118">
        <v>200</v>
      </c>
      <c r="T299" s="15">
        <f>S299-Q299</f>
        <v>0</v>
      </c>
      <c r="U299" s="16">
        <f>S299/Q299-1</f>
        <v>0</v>
      </c>
      <c r="Y299" s="118">
        <v>200</v>
      </c>
      <c r="AA299" s="118">
        <v>150</v>
      </c>
      <c r="AB299" s="185">
        <f t="shared" ref="AB299" si="1342">AA299-Y299</f>
        <v>-50</v>
      </c>
      <c r="AC299" s="187">
        <f t="shared" ref="AC299" si="1343">AA299-Y299</f>
        <v>-50</v>
      </c>
      <c r="AD299" s="187"/>
      <c r="AE299" s="118">
        <v>4000</v>
      </c>
      <c r="AF299" s="182">
        <f>AE299-AA299</f>
        <v>3850</v>
      </c>
      <c r="AH299" s="15">
        <v>3946.4</v>
      </c>
      <c r="AI299" s="17">
        <f t="shared" si="1312"/>
        <v>0.98660000000000003</v>
      </c>
      <c r="AK299" s="118">
        <v>4200</v>
      </c>
      <c r="AS299" s="15">
        <f t="shared" ref="AS299" si="1344">AR299+AK299</f>
        <v>4200</v>
      </c>
      <c r="AV299" s="15">
        <f t="shared" ref="AV299" si="1345">AS299+AU299</f>
        <v>4200</v>
      </c>
      <c r="AX299" s="15"/>
      <c r="AY299" s="15">
        <f t="shared" ref="AY299" si="1346">AV299+AX299</f>
        <v>4200</v>
      </c>
      <c r="BB299" s="15">
        <f t="shared" ref="BB299" si="1347">AY299+BA299</f>
        <v>4200</v>
      </c>
      <c r="BD299" s="15">
        <v>-800</v>
      </c>
      <c r="BE299" s="15">
        <f t="shared" ref="BE299" si="1348">BB299+BD299</f>
        <v>3400</v>
      </c>
      <c r="BG299" s="15"/>
      <c r="BH299" s="15">
        <f t="shared" ref="BH299" si="1349">BE299+BG299</f>
        <v>3400</v>
      </c>
      <c r="BJ299" s="15">
        <v>3287.6</v>
      </c>
      <c r="BK299" s="235">
        <f t="shared" ref="BK299" si="1350">BJ299/BH299</f>
        <v>0.96694117647058819</v>
      </c>
      <c r="BM299" s="15">
        <v>3500</v>
      </c>
      <c r="BN299" s="235">
        <f t="shared" ref="BN299" si="1351">BM299/BJ299</f>
        <v>1.0646063998053292</v>
      </c>
      <c r="BO299" s="235">
        <f t="shared" ref="BO299" si="1352">BM299/BH299</f>
        <v>1.0294117647058822</v>
      </c>
      <c r="BQ299" s="15"/>
      <c r="BR299" s="15">
        <f t="shared" ref="BR299" si="1353">BM299+BQ299</f>
        <v>3500</v>
      </c>
      <c r="BT299" s="15"/>
      <c r="BU299" s="15">
        <f>BR299+BT299</f>
        <v>3500</v>
      </c>
      <c r="BW299" s="15"/>
      <c r="BX299" s="15">
        <f>BU299+BW299</f>
        <v>3500</v>
      </c>
      <c r="BZ299" s="15"/>
      <c r="CA299" s="15">
        <f>BX299+BZ299</f>
        <v>3500</v>
      </c>
      <c r="CC299" s="15"/>
      <c r="CD299" s="15">
        <f>CA299+CC299</f>
        <v>3500</v>
      </c>
      <c r="CF299" s="15"/>
      <c r="CG299" s="15">
        <f>CD299+CF299</f>
        <v>3500</v>
      </c>
      <c r="CI299" s="227">
        <v>1200</v>
      </c>
      <c r="CJ299" s="15">
        <f>CG299+CI299</f>
        <v>4700</v>
      </c>
      <c r="CM299" s="15">
        <f>CJ299+CL299</f>
        <v>4700</v>
      </c>
      <c r="CP299" s="15">
        <f>CM299+CO299</f>
        <v>4700</v>
      </c>
      <c r="CS299" s="15">
        <f>CP299+CR299</f>
        <v>4700</v>
      </c>
      <c r="CV299" s="15">
        <f>CS299+CU299</f>
        <v>4700</v>
      </c>
      <c r="CY299" s="15">
        <f>CV299+CX299</f>
        <v>4700</v>
      </c>
      <c r="DA299" s="15">
        <v>4552.83</v>
      </c>
      <c r="DC299" s="15">
        <v>5000</v>
      </c>
      <c r="DE299" s="15"/>
      <c r="DF299" s="15">
        <f t="shared" si="1321"/>
        <v>5000</v>
      </c>
      <c r="DH299" s="15"/>
      <c r="DI299" s="15">
        <f t="shared" ref="DI299" si="1354">DF299+DH299</f>
        <v>5000</v>
      </c>
      <c r="DK299" s="15"/>
      <c r="DL299" s="15">
        <f t="shared" ref="DL299" si="1355">DI299+DK299</f>
        <v>5000</v>
      </c>
      <c r="DN299" s="15"/>
      <c r="DO299" s="15">
        <f t="shared" ref="DO299" si="1356">DL299+DN299</f>
        <v>5000</v>
      </c>
      <c r="DQ299" s="15"/>
      <c r="DR299" s="15">
        <f t="shared" ref="DR299" si="1357">DO299+DQ299</f>
        <v>5000</v>
      </c>
      <c r="DT299" s="15"/>
      <c r="DU299" s="15">
        <f t="shared" ref="DU299" si="1358">DR299+DT299</f>
        <v>5000</v>
      </c>
      <c r="DW299" s="15"/>
      <c r="DX299" s="15">
        <f t="shared" ref="DX299" si="1359">DU299+DW299</f>
        <v>5000</v>
      </c>
      <c r="DZ299" s="15"/>
      <c r="EA299" s="15">
        <f t="shared" ref="EA299" si="1360">DX299+DZ299</f>
        <v>5000</v>
      </c>
      <c r="EC299" s="227">
        <v>529</v>
      </c>
      <c r="ED299" s="15">
        <f t="shared" ref="ED299" si="1361">EA299+EC299</f>
        <v>5529</v>
      </c>
      <c r="EF299" s="227">
        <v>1000</v>
      </c>
      <c r="EG299" s="15">
        <f t="shared" ref="EG299" si="1362">ED299+EF299</f>
        <v>6529</v>
      </c>
      <c r="EI299" s="15">
        <v>5059.2</v>
      </c>
      <c r="EK299" s="15">
        <v>6000</v>
      </c>
      <c r="EM299" s="15"/>
      <c r="EN299" s="15">
        <f t="shared" ref="EN299" si="1363">EK299+EM299</f>
        <v>6000</v>
      </c>
      <c r="EP299" s="15"/>
      <c r="EQ299" s="15">
        <f t="shared" ref="EQ299" si="1364">EN299+EP299</f>
        <v>6000</v>
      </c>
      <c r="ES299" s="15"/>
      <c r="ET299" s="15">
        <f t="shared" ref="ET299" si="1365">EQ299+ES299</f>
        <v>6000</v>
      </c>
      <c r="EW299" s="15">
        <f t="shared" ref="EW299" si="1366">ET299+EV299</f>
        <v>6000</v>
      </c>
      <c r="EZ299" s="15">
        <f t="shared" ref="EZ299" si="1367">EW299+EY299</f>
        <v>6000</v>
      </c>
      <c r="FC299" s="15">
        <f t="shared" ref="FC299" si="1368">EZ299+FB299</f>
        <v>6000</v>
      </c>
      <c r="FF299" s="15">
        <f t="shared" ref="FF299" si="1369">FC299+FE299</f>
        <v>6000</v>
      </c>
      <c r="FI299" s="15">
        <f t="shared" ref="FI299" si="1370">FF299+FH299</f>
        <v>6000</v>
      </c>
      <c r="FL299" s="15">
        <f t="shared" ref="FL299" si="1371">FI299+FK299</f>
        <v>6000</v>
      </c>
      <c r="FO299" s="15">
        <f t="shared" ref="FO299" si="1372">FL299+FN299</f>
        <v>6000</v>
      </c>
      <c r="FR299" s="15">
        <v>6000</v>
      </c>
      <c r="FT299" s="15">
        <v>5189.2</v>
      </c>
      <c r="FV299" s="15">
        <v>5500</v>
      </c>
      <c r="FW299" s="235">
        <f t="shared" si="1341"/>
        <v>1.0598936252216142</v>
      </c>
    </row>
    <row r="300" spans="1:179" outlineLevel="1">
      <c r="A300" s="1" t="s">
        <v>86</v>
      </c>
      <c r="B300" s="4" t="s">
        <v>46</v>
      </c>
      <c r="C300" s="4" t="s">
        <v>89</v>
      </c>
      <c r="D300" s="43">
        <v>200</v>
      </c>
      <c r="E300" s="34">
        <v>57.7</v>
      </c>
      <c r="F300" s="43">
        <v>200</v>
      </c>
      <c r="G300" s="34">
        <v>57.7</v>
      </c>
      <c r="H300" s="46">
        <v>115.4</v>
      </c>
      <c r="Y300" s="118"/>
      <c r="AF300" s="182"/>
      <c r="AH300" s="15"/>
      <c r="AX300" s="15"/>
      <c r="BD300" s="15"/>
      <c r="BG300" s="15"/>
      <c r="DE300" s="15"/>
      <c r="DH300" s="15"/>
      <c r="DK300" s="15"/>
      <c r="DN300" s="15"/>
      <c r="DQ300" s="15"/>
      <c r="DT300" s="15"/>
      <c r="DW300" s="15"/>
      <c r="DZ300" s="15"/>
      <c r="EC300" s="15"/>
      <c r="EF300" s="15"/>
      <c r="EK300" s="15"/>
      <c r="EM300" s="15"/>
      <c r="EP300" s="15"/>
      <c r="ES300" s="15"/>
    </row>
    <row r="301" spans="1:179" outlineLevel="1">
      <c r="A301" s="1" t="s">
        <v>90</v>
      </c>
      <c r="B301" s="4" t="s">
        <v>48</v>
      </c>
      <c r="C301" s="4" t="s">
        <v>89</v>
      </c>
      <c r="D301" s="43">
        <v>200</v>
      </c>
      <c r="E301" s="34">
        <v>57.7</v>
      </c>
      <c r="F301" s="43">
        <v>200</v>
      </c>
      <c r="G301" s="34">
        <v>57.7</v>
      </c>
      <c r="H301" s="46">
        <v>115.4</v>
      </c>
      <c r="I301" s="36"/>
      <c r="J301" s="14"/>
      <c r="Y301" s="118"/>
      <c r="AF301" s="182"/>
      <c r="AH301" s="15"/>
      <c r="AX301" s="15"/>
      <c r="BD301" s="15"/>
      <c r="BG301" s="15"/>
      <c r="DE301" s="15"/>
      <c r="DH301" s="15"/>
      <c r="DK301" s="15"/>
      <c r="DN301" s="15"/>
      <c r="DQ301" s="15"/>
      <c r="DT301" s="15"/>
      <c r="DW301" s="15"/>
      <c r="DZ301" s="15"/>
      <c r="EC301" s="15"/>
      <c r="EF301" s="15"/>
      <c r="EK301" s="15"/>
      <c r="EM301" s="15"/>
      <c r="EP301" s="15"/>
      <c r="ES301" s="15"/>
    </row>
    <row r="302" spans="1:179" ht="15" customHeight="1" thickBot="1">
      <c r="A302" s="54" t="s">
        <v>86</v>
      </c>
      <c r="B302" s="55" t="s">
        <v>316</v>
      </c>
      <c r="C302" s="56" t="s">
        <v>352</v>
      </c>
      <c r="D302" s="57">
        <f>D299</f>
        <v>200</v>
      </c>
      <c r="E302" s="58"/>
      <c r="F302" s="57">
        <f>F299</f>
        <v>200</v>
      </c>
      <c r="G302" s="58"/>
      <c r="H302" s="57"/>
      <c r="I302" s="57">
        <f>I299</f>
        <v>138.47999999999999</v>
      </c>
      <c r="J302" s="59"/>
      <c r="K302" s="60"/>
      <c r="L302" s="122">
        <f>L299</f>
        <v>200</v>
      </c>
      <c r="M302" s="61">
        <f>L302/F302-1</f>
        <v>0</v>
      </c>
      <c r="N302" s="61">
        <f>L302/I302-1</f>
        <v>0.44425187752744089</v>
      </c>
      <c r="Q302" s="122">
        <f>Q299</f>
        <v>200</v>
      </c>
      <c r="R302" s="122">
        <f>R299</f>
        <v>67</v>
      </c>
      <c r="S302" s="122">
        <f>S299</f>
        <v>200</v>
      </c>
      <c r="T302" s="122">
        <f>T299</f>
        <v>0</v>
      </c>
      <c r="U302" s="155">
        <f>S302/Q302-1</f>
        <v>0</v>
      </c>
      <c r="Y302" s="122">
        <f>Y299</f>
        <v>200</v>
      </c>
      <c r="AA302" s="122">
        <f>AA299</f>
        <v>150</v>
      </c>
      <c r="AB302" s="122">
        <f>AB299</f>
        <v>-50</v>
      </c>
      <c r="AE302" s="122">
        <f>AE299</f>
        <v>4000</v>
      </c>
      <c r="AF302" s="182"/>
      <c r="AH302" s="122">
        <f>AH299</f>
        <v>3946.4</v>
      </c>
      <c r="AI302" s="17">
        <f t="shared" ref="AI302:AI303" si="1373">AH302/AE302</f>
        <v>0.98660000000000003</v>
      </c>
      <c r="AK302" s="122">
        <f>AK299</f>
        <v>4200</v>
      </c>
      <c r="AL302" s="193">
        <f>AK302/L302</f>
        <v>21</v>
      </c>
      <c r="AM302" s="17">
        <f>AK302/AE302</f>
        <v>1.05</v>
      </c>
      <c r="AN302" s="17">
        <f>AK302/AH302</f>
        <v>1.0642610987228867</v>
      </c>
      <c r="AS302" s="122">
        <f>AS299</f>
        <v>4200</v>
      </c>
      <c r="AU302" s="122">
        <f>AU299</f>
        <v>0</v>
      </c>
      <c r="AV302" s="122">
        <f>AV299</f>
        <v>4200</v>
      </c>
      <c r="AX302" s="122">
        <f>AX299</f>
        <v>0</v>
      </c>
      <c r="AY302" s="122">
        <f>AY299</f>
        <v>4200</v>
      </c>
      <c r="BA302" s="122">
        <f>BA299</f>
        <v>0</v>
      </c>
      <c r="BB302" s="122">
        <f>BB299</f>
        <v>4200</v>
      </c>
      <c r="BD302" s="122">
        <f>BD299</f>
        <v>-800</v>
      </c>
      <c r="BE302" s="122">
        <f>BE299</f>
        <v>3400</v>
      </c>
      <c r="BG302" s="122">
        <f>BG299</f>
        <v>0</v>
      </c>
      <c r="BH302" s="122">
        <f>BH299</f>
        <v>3400</v>
      </c>
      <c r="BJ302" s="122">
        <f>BJ299</f>
        <v>3287.6</v>
      </c>
      <c r="BK302" s="236">
        <f t="shared" ref="BK302" si="1374">BJ302/BH302</f>
        <v>0.96694117647058819</v>
      </c>
      <c r="BM302" s="122">
        <f>BM299</f>
        <v>3500</v>
      </c>
      <c r="BN302" s="236">
        <f t="shared" ref="BN302" si="1375">BM302/BJ302</f>
        <v>1.0646063998053292</v>
      </c>
      <c r="BO302" s="236">
        <f t="shared" ref="BO302" si="1376">BM302/BH302</f>
        <v>1.0294117647058822</v>
      </c>
      <c r="BQ302" s="122">
        <f>BQ299</f>
        <v>0</v>
      </c>
      <c r="BR302" s="122">
        <f>BR299</f>
        <v>3500</v>
      </c>
      <c r="BT302" s="122">
        <f>BT299</f>
        <v>0</v>
      </c>
      <c r="BU302" s="122">
        <f>BU299</f>
        <v>3500</v>
      </c>
      <c r="BW302" s="122">
        <f>BW299</f>
        <v>0</v>
      </c>
      <c r="BX302" s="122">
        <f>BX299</f>
        <v>3500</v>
      </c>
      <c r="BZ302" s="122">
        <f>BZ299</f>
        <v>0</v>
      </c>
      <c r="CA302" s="122">
        <f>CA299</f>
        <v>3500</v>
      </c>
      <c r="CC302" s="122">
        <f>CC299</f>
        <v>0</v>
      </c>
      <c r="CD302" s="122">
        <f>CD299</f>
        <v>3500</v>
      </c>
      <c r="CF302" s="122">
        <f>CF299</f>
        <v>0</v>
      </c>
      <c r="CG302" s="122">
        <f>CG299</f>
        <v>3500</v>
      </c>
      <c r="CI302" s="122">
        <f>CI299</f>
        <v>1200</v>
      </c>
      <c r="CJ302" s="122">
        <f>CJ299</f>
        <v>4700</v>
      </c>
      <c r="CL302" s="319">
        <f>CL299</f>
        <v>0</v>
      </c>
      <c r="CM302" s="122">
        <f>CM299</f>
        <v>4700</v>
      </c>
      <c r="CO302" s="122">
        <f>CO299</f>
        <v>0</v>
      </c>
      <c r="CP302" s="122">
        <f>CP299</f>
        <v>4700</v>
      </c>
      <c r="CR302" s="122">
        <f>CR299</f>
        <v>0</v>
      </c>
      <c r="CS302" s="122">
        <f>CS299</f>
        <v>4700</v>
      </c>
      <c r="CU302" s="122">
        <f>CU299</f>
        <v>0</v>
      </c>
      <c r="CV302" s="122">
        <f>CV299</f>
        <v>4700</v>
      </c>
      <c r="CX302" s="122">
        <f>CX299</f>
        <v>0</v>
      </c>
      <c r="CY302" s="122">
        <f>CY299</f>
        <v>4700</v>
      </c>
      <c r="DA302" s="122">
        <f>DA299</f>
        <v>4552.83</v>
      </c>
      <c r="DC302" s="122">
        <f>DC299</f>
        <v>5000</v>
      </c>
      <c r="DE302" s="122">
        <f>DE299</f>
        <v>0</v>
      </c>
      <c r="DF302" s="122">
        <f>DF299</f>
        <v>5000</v>
      </c>
      <c r="DH302" s="122">
        <f>DH299</f>
        <v>0</v>
      </c>
      <c r="DI302" s="122">
        <f>DI299</f>
        <v>5000</v>
      </c>
      <c r="DK302" s="122">
        <f>DK299</f>
        <v>0</v>
      </c>
      <c r="DL302" s="122">
        <f>DL299</f>
        <v>5000</v>
      </c>
      <c r="DN302" s="122">
        <f>DN299</f>
        <v>0</v>
      </c>
      <c r="DO302" s="122">
        <f>DO299</f>
        <v>5000</v>
      </c>
      <c r="DQ302" s="122">
        <f>DQ299</f>
        <v>0</v>
      </c>
      <c r="DR302" s="122">
        <f>DR299</f>
        <v>5000</v>
      </c>
      <c r="DT302" s="122">
        <f>DT299</f>
        <v>0</v>
      </c>
      <c r="DU302" s="122">
        <f>DU299</f>
        <v>5000</v>
      </c>
      <c r="DW302" s="122">
        <f>DW299</f>
        <v>0</v>
      </c>
      <c r="DX302" s="122">
        <f>DX299</f>
        <v>5000</v>
      </c>
      <c r="DZ302" s="122">
        <f>DZ299</f>
        <v>0</v>
      </c>
      <c r="EA302" s="122">
        <f>EA299</f>
        <v>5000</v>
      </c>
      <c r="EC302" s="122">
        <f>EC299</f>
        <v>529</v>
      </c>
      <c r="ED302" s="122">
        <f>ED299</f>
        <v>5529</v>
      </c>
      <c r="EF302" s="122">
        <f>EF299</f>
        <v>1000</v>
      </c>
      <c r="EG302" s="122">
        <f>EG299</f>
        <v>6529</v>
      </c>
      <c r="EI302" s="122">
        <f>EI299</f>
        <v>5059.2</v>
      </c>
      <c r="EK302" s="122">
        <f>EK299</f>
        <v>6000</v>
      </c>
      <c r="EM302" s="122">
        <f>EM299</f>
        <v>0</v>
      </c>
      <c r="EN302" s="122">
        <f>EN299</f>
        <v>6000</v>
      </c>
      <c r="EP302" s="122">
        <f>EP299</f>
        <v>0</v>
      </c>
      <c r="EQ302" s="122">
        <f>EQ299</f>
        <v>6000</v>
      </c>
      <c r="ES302" s="122">
        <f>ES299</f>
        <v>0</v>
      </c>
      <c r="ET302" s="122">
        <f>ET299</f>
        <v>6000</v>
      </c>
      <c r="EV302" s="122">
        <f>EV299</f>
        <v>0</v>
      </c>
      <c r="EW302" s="122">
        <f>EW299</f>
        <v>6000</v>
      </c>
      <c r="EY302" s="122">
        <f>EY299</f>
        <v>0</v>
      </c>
      <c r="EZ302" s="122">
        <f>EZ299</f>
        <v>6000</v>
      </c>
      <c r="FB302" s="122">
        <f>FB299</f>
        <v>0</v>
      </c>
      <c r="FC302" s="122">
        <f>FC299</f>
        <v>6000</v>
      </c>
      <c r="FE302" s="122">
        <f>FE299</f>
        <v>0</v>
      </c>
      <c r="FF302" s="122">
        <f>FF299</f>
        <v>6000</v>
      </c>
      <c r="FH302" s="122">
        <f>FH299</f>
        <v>0</v>
      </c>
      <c r="FI302" s="122">
        <f>FI299</f>
        <v>6000</v>
      </c>
      <c r="FK302" s="122">
        <f>FK299</f>
        <v>0</v>
      </c>
      <c r="FL302" s="122">
        <f>FL299</f>
        <v>6000</v>
      </c>
      <c r="FN302" s="122">
        <f>FN299</f>
        <v>0</v>
      </c>
      <c r="FO302" s="122">
        <f>FO299</f>
        <v>6000</v>
      </c>
      <c r="FQ302" s="122">
        <v>0</v>
      </c>
      <c r="FR302" s="122">
        <v>6000</v>
      </c>
      <c r="FT302" s="122">
        <f>FT299</f>
        <v>5189.2</v>
      </c>
      <c r="FV302" s="122">
        <f>FV299</f>
        <v>5500</v>
      </c>
      <c r="FW302" s="235">
        <f t="shared" ref="FW302:FW303" si="1377">FV302/FT302</f>
        <v>1.0598936252216142</v>
      </c>
    </row>
    <row r="303" spans="1:179" ht="15.75" outlineLevel="1" thickTop="1">
      <c r="A303" s="1" t="s">
        <v>235</v>
      </c>
      <c r="B303" s="1" t="s">
        <v>229</v>
      </c>
      <c r="C303" s="4" t="s">
        <v>230</v>
      </c>
      <c r="D303" s="43">
        <v>27000</v>
      </c>
      <c r="E303" s="34">
        <v>69.209999999999994</v>
      </c>
      <c r="F303" s="43">
        <v>27000</v>
      </c>
      <c r="G303" s="34">
        <v>69.209999999999994</v>
      </c>
      <c r="H303" s="46">
        <v>18686.98</v>
      </c>
      <c r="I303" s="36">
        <v>18687</v>
      </c>
      <c r="J303" s="14"/>
      <c r="K303" t="s">
        <v>332</v>
      </c>
      <c r="L303" s="118">
        <v>16000</v>
      </c>
      <c r="M303" s="17">
        <f>L303/F303-1</f>
        <v>-0.40740740740740744</v>
      </c>
      <c r="N303" s="17">
        <f>L303/I303-1</f>
        <v>-0.1437898003959972</v>
      </c>
      <c r="Q303" s="118">
        <v>16000</v>
      </c>
      <c r="R303" s="15">
        <v>13284</v>
      </c>
      <c r="S303" s="118">
        <v>14000</v>
      </c>
      <c r="T303" s="15">
        <f>S303-Q303</f>
        <v>-2000</v>
      </c>
      <c r="U303" s="16">
        <f>S303/Q303-1</f>
        <v>-0.125</v>
      </c>
      <c r="Y303" s="118">
        <v>15700</v>
      </c>
      <c r="AA303" s="118">
        <v>19000</v>
      </c>
      <c r="AB303" s="185">
        <f t="shared" ref="AB303" si="1378">AA303-Y303</f>
        <v>3300</v>
      </c>
      <c r="AC303" s="187">
        <f t="shared" ref="AC303" si="1379">AA303-Y303</f>
        <v>3300</v>
      </c>
      <c r="AD303" s="187"/>
      <c r="AE303" s="118">
        <v>19000</v>
      </c>
      <c r="AF303" s="182"/>
      <c r="AH303" s="15">
        <v>15612</v>
      </c>
      <c r="AI303" s="17">
        <f t="shared" si="1373"/>
        <v>0.82168421052631579</v>
      </c>
      <c r="AK303" s="118">
        <v>16000</v>
      </c>
      <c r="AS303" s="15">
        <f t="shared" ref="AS303" si="1380">AR303+AK303</f>
        <v>16000</v>
      </c>
      <c r="AV303" s="15">
        <f t="shared" ref="AV303" si="1381">AS303+AU303</f>
        <v>16000</v>
      </c>
      <c r="AX303" s="15"/>
      <c r="AY303" s="15">
        <f t="shared" ref="AY303" si="1382">AV303+AX303</f>
        <v>16000</v>
      </c>
      <c r="BB303" s="15">
        <f t="shared" ref="BB303" si="1383">AY303+BA303</f>
        <v>16000</v>
      </c>
      <c r="BD303" s="15"/>
      <c r="BE303" s="15">
        <f t="shared" ref="BE303" si="1384">BB303+BD303</f>
        <v>16000</v>
      </c>
      <c r="BG303" s="15">
        <v>-200</v>
      </c>
      <c r="BH303" s="15">
        <f t="shared" ref="BH303" si="1385">BE303+BG303</f>
        <v>15800</v>
      </c>
      <c r="BJ303" s="15">
        <v>15144</v>
      </c>
      <c r="BK303" s="235">
        <f t="shared" ref="BK303" si="1386">BJ303/BH303</f>
        <v>0.95848101265822783</v>
      </c>
      <c r="BM303" s="15">
        <v>16000</v>
      </c>
      <c r="BN303" s="235">
        <f t="shared" ref="BN303" si="1387">BM303/BJ303</f>
        <v>1.0565240359218173</v>
      </c>
      <c r="BO303" s="235">
        <f t="shared" ref="BO303" si="1388">BM303/BH303</f>
        <v>1.0126582278481013</v>
      </c>
      <c r="BQ303" s="15"/>
      <c r="BR303" s="15">
        <f t="shared" ref="BR303" si="1389">BM303+BQ303</f>
        <v>16000</v>
      </c>
      <c r="BT303" s="15"/>
      <c r="BU303" s="15">
        <f>BR303+BT303</f>
        <v>16000</v>
      </c>
      <c r="BW303" s="15"/>
      <c r="BX303" s="15">
        <f>BU303+BW303</f>
        <v>16000</v>
      </c>
      <c r="BZ303" s="15"/>
      <c r="CA303" s="15">
        <f>BX303+BZ303</f>
        <v>16000</v>
      </c>
      <c r="CC303" s="15"/>
      <c r="CD303" s="15">
        <f>CA303+CC303</f>
        <v>16000</v>
      </c>
      <c r="CF303" s="15"/>
      <c r="CG303" s="15">
        <f>CD303+CF303</f>
        <v>16000</v>
      </c>
      <c r="CI303" s="15"/>
      <c r="CJ303" s="15">
        <f>CG303+CI303</f>
        <v>16000</v>
      </c>
      <c r="CM303" s="15">
        <f>CJ303+CL303</f>
        <v>16000</v>
      </c>
      <c r="CP303" s="15">
        <f>CM303+CO303</f>
        <v>16000</v>
      </c>
      <c r="CS303" s="15">
        <f>CP303+CR303</f>
        <v>16000</v>
      </c>
      <c r="CU303" s="227">
        <v>-3000</v>
      </c>
      <c r="CV303" s="15">
        <f>CS303+CU303</f>
        <v>13000</v>
      </c>
      <c r="CX303" s="227"/>
      <c r="CY303" s="15">
        <f>CV303+CX303</f>
        <v>13000</v>
      </c>
      <c r="DA303" s="15">
        <v>12746</v>
      </c>
      <c r="DC303" s="15">
        <v>13000</v>
      </c>
      <c r="DE303" s="15"/>
      <c r="DF303" s="15">
        <f t="shared" ref="DF303" si="1390">DC303+DE303</f>
        <v>13000</v>
      </c>
      <c r="DH303" s="15"/>
      <c r="DI303" s="15">
        <f t="shared" ref="DI303" si="1391">DF303+DH303</f>
        <v>13000</v>
      </c>
      <c r="DK303" s="15"/>
      <c r="DL303" s="15">
        <f t="shared" ref="DL303" si="1392">DI303+DK303</f>
        <v>13000</v>
      </c>
      <c r="DN303" s="15"/>
      <c r="DO303" s="15">
        <f t="shared" ref="DO303" si="1393">DL303+DN303</f>
        <v>13000</v>
      </c>
      <c r="DQ303" s="15"/>
      <c r="DR303" s="15">
        <f t="shared" ref="DR303" si="1394">DO303+DQ303</f>
        <v>13000</v>
      </c>
      <c r="DT303" s="15"/>
      <c r="DU303" s="15">
        <f t="shared" ref="DU303" si="1395">DR303+DT303</f>
        <v>13000</v>
      </c>
      <c r="DW303" s="15"/>
      <c r="DX303" s="15">
        <f t="shared" ref="DX303" si="1396">DU303+DW303</f>
        <v>13000</v>
      </c>
      <c r="DZ303" s="15"/>
      <c r="EA303" s="15">
        <f t="shared" ref="EA303" si="1397">DX303+DZ303</f>
        <v>13000</v>
      </c>
      <c r="EC303" s="227">
        <v>10</v>
      </c>
      <c r="ED303" s="15">
        <f t="shared" ref="ED303" si="1398">EA303+EC303</f>
        <v>13010</v>
      </c>
      <c r="EF303" s="227">
        <v>1500</v>
      </c>
      <c r="EG303" s="15">
        <f t="shared" ref="EG303" si="1399">ED303+EF303</f>
        <v>14510</v>
      </c>
      <c r="EI303" s="15">
        <v>13009</v>
      </c>
      <c r="EK303" s="15">
        <v>30000</v>
      </c>
      <c r="EM303" s="15"/>
      <c r="EN303" s="15">
        <f t="shared" ref="EN303" si="1400">EK303+EM303</f>
        <v>30000</v>
      </c>
      <c r="EP303" s="15"/>
      <c r="EQ303" s="15">
        <f t="shared" ref="EQ303" si="1401">EN303+EP303</f>
        <v>30000</v>
      </c>
      <c r="ES303" s="15"/>
      <c r="ET303" s="15">
        <f t="shared" ref="ET303" si="1402">EQ303+ES303</f>
        <v>30000</v>
      </c>
      <c r="EV303" s="227">
        <v>1000</v>
      </c>
      <c r="EW303" s="15">
        <f t="shared" ref="EW303" si="1403">ET303+EV303</f>
        <v>31000</v>
      </c>
      <c r="EY303" s="227">
        <v>1500</v>
      </c>
      <c r="EZ303" s="15">
        <f t="shared" ref="EZ303" si="1404">EW303+EY303</f>
        <v>32500</v>
      </c>
      <c r="FC303" s="15">
        <f t="shared" ref="FC303" si="1405">EZ303+FB303</f>
        <v>32500</v>
      </c>
      <c r="FF303" s="15">
        <f t="shared" ref="FF303" si="1406">FC303+FE303</f>
        <v>32500</v>
      </c>
      <c r="FI303" s="15">
        <f t="shared" ref="FI303" si="1407">FF303+FH303</f>
        <v>32500</v>
      </c>
      <c r="FL303" s="15">
        <f t="shared" ref="FL303" si="1408">FI303+FK303</f>
        <v>32500</v>
      </c>
      <c r="FO303" s="15">
        <f t="shared" ref="FO303" si="1409">FL303+FN303</f>
        <v>32500</v>
      </c>
      <c r="FR303" s="15">
        <v>32500</v>
      </c>
      <c r="FT303" s="15">
        <v>32469</v>
      </c>
      <c r="FV303" s="15">
        <v>35000</v>
      </c>
      <c r="FW303" s="235">
        <f t="shared" si="1377"/>
        <v>1.0779512766022976</v>
      </c>
    </row>
    <row r="304" spans="1:179" outlineLevel="1">
      <c r="A304" s="1" t="s">
        <v>235</v>
      </c>
      <c r="B304" s="4" t="s">
        <v>46</v>
      </c>
      <c r="C304" s="4" t="s">
        <v>236</v>
      </c>
      <c r="D304" s="43">
        <v>27000</v>
      </c>
      <c r="E304" s="34">
        <v>69.209999999999994</v>
      </c>
      <c r="F304" s="43">
        <v>27000</v>
      </c>
      <c r="G304" s="34">
        <v>69.209999999999994</v>
      </c>
      <c r="H304" s="46">
        <v>18686.98</v>
      </c>
      <c r="I304" s="36"/>
      <c r="J304" s="14"/>
      <c r="Y304" s="118"/>
      <c r="AF304" s="182"/>
      <c r="AH304" s="15"/>
      <c r="AX304" s="15"/>
      <c r="BD304" s="15"/>
      <c r="BG304" s="15"/>
      <c r="DE304" s="15"/>
      <c r="DH304" s="15"/>
      <c r="DK304" s="15"/>
      <c r="DN304" s="15"/>
      <c r="DQ304" s="15"/>
      <c r="DT304" s="15"/>
      <c r="DW304" s="15"/>
      <c r="DZ304" s="15"/>
      <c r="EC304" s="15"/>
      <c r="EF304" s="15"/>
      <c r="EK304" s="15"/>
      <c r="EM304" s="15"/>
      <c r="EP304" s="15"/>
      <c r="ES304" s="15"/>
    </row>
    <row r="305" spans="1:179" outlineLevel="1">
      <c r="A305" s="1" t="s">
        <v>237</v>
      </c>
      <c r="B305" s="4" t="s">
        <v>48</v>
      </c>
      <c r="C305" s="4" t="s">
        <v>236</v>
      </c>
      <c r="D305" s="43">
        <v>27000</v>
      </c>
      <c r="E305" s="34">
        <v>69.209999999999994</v>
      </c>
      <c r="F305" s="43">
        <v>27000</v>
      </c>
      <c r="G305" s="34">
        <v>69.209999999999994</v>
      </c>
      <c r="H305" s="46">
        <v>18686.98</v>
      </c>
      <c r="Y305" s="118"/>
      <c r="AF305" s="182"/>
      <c r="AH305" s="15"/>
      <c r="AX305" s="15"/>
      <c r="BD305" s="15"/>
      <c r="BG305" s="15"/>
      <c r="DE305" s="15"/>
      <c r="DH305" s="15"/>
      <c r="DK305" s="15"/>
      <c r="DN305" s="15"/>
      <c r="DQ305" s="15"/>
      <c r="DT305" s="15"/>
      <c r="DW305" s="15"/>
      <c r="DZ305" s="15"/>
      <c r="EC305" s="15"/>
      <c r="EF305" s="15"/>
      <c r="EK305" s="15"/>
      <c r="EM305" s="15"/>
      <c r="EP305" s="15"/>
      <c r="ES305" s="15"/>
    </row>
    <row r="306" spans="1:179" ht="15" customHeight="1" thickBot="1">
      <c r="A306" s="54" t="s">
        <v>235</v>
      </c>
      <c r="B306" s="55" t="s">
        <v>316</v>
      </c>
      <c r="C306" s="56" t="s">
        <v>353</v>
      </c>
      <c r="D306" s="57">
        <f>D303</f>
        <v>27000</v>
      </c>
      <c r="E306" s="58"/>
      <c r="F306" s="57">
        <f>F303</f>
        <v>27000</v>
      </c>
      <c r="G306" s="58"/>
      <c r="H306" s="57"/>
      <c r="I306" s="57">
        <f>I303</f>
        <v>18687</v>
      </c>
      <c r="J306" s="138" t="e">
        <f>I306/$I$332</f>
        <v>#REF!</v>
      </c>
      <c r="K306" s="60"/>
      <c r="L306" s="122">
        <f>L303</f>
        <v>16000</v>
      </c>
      <c r="M306" s="61">
        <f>L306/F306-1</f>
        <v>-0.40740740740740744</v>
      </c>
      <c r="N306" s="61">
        <f>L306/I306-1</f>
        <v>-0.1437898003959972</v>
      </c>
      <c r="O306" s="17">
        <f>L306/$L$332</f>
        <v>3.7122970526644464E-3</v>
      </c>
      <c r="P306" s="17"/>
      <c r="Q306" s="122">
        <f>Q303</f>
        <v>16000</v>
      </c>
      <c r="R306" s="122">
        <f>R303</f>
        <v>13284</v>
      </c>
      <c r="S306" s="122">
        <f>S303</f>
        <v>14000</v>
      </c>
      <c r="T306" s="122">
        <f>T303</f>
        <v>-2000</v>
      </c>
      <c r="U306" s="155">
        <f>S306/Q306-1</f>
        <v>-0.125</v>
      </c>
      <c r="Y306" s="122">
        <f>Y303</f>
        <v>15700</v>
      </c>
      <c r="AA306" s="122">
        <f>AA303</f>
        <v>19000</v>
      </c>
      <c r="AB306" s="122">
        <f>AB303</f>
        <v>3300</v>
      </c>
      <c r="AE306" s="122">
        <f>AE303</f>
        <v>19000</v>
      </c>
      <c r="AF306" s="182"/>
      <c r="AH306" s="122">
        <f>AH303</f>
        <v>15612</v>
      </c>
      <c r="AI306" s="17">
        <f t="shared" ref="AI306:AI307" si="1410">AH306/AE306</f>
        <v>0.82168421052631579</v>
      </c>
      <c r="AK306" s="122">
        <f>AK303</f>
        <v>16000</v>
      </c>
      <c r="AL306" s="193">
        <f>AK306/L306</f>
        <v>1</v>
      </c>
      <c r="AM306" s="17">
        <f>AK306/AE306</f>
        <v>0.84210526315789469</v>
      </c>
      <c r="AN306" s="17">
        <f>AK306/AH306</f>
        <v>1.0248526774276199</v>
      </c>
      <c r="AS306" s="122">
        <f>AS303</f>
        <v>16000</v>
      </c>
      <c r="AU306" s="122">
        <f>AU303</f>
        <v>0</v>
      </c>
      <c r="AV306" s="122">
        <f>AV303</f>
        <v>16000</v>
      </c>
      <c r="AX306" s="122">
        <f>AX303</f>
        <v>0</v>
      </c>
      <c r="AY306" s="122">
        <f>AY303</f>
        <v>16000</v>
      </c>
      <c r="BA306" s="122">
        <f>BA303</f>
        <v>0</v>
      </c>
      <c r="BB306" s="122">
        <f>BB303</f>
        <v>16000</v>
      </c>
      <c r="BD306" s="122">
        <f>BD303</f>
        <v>0</v>
      </c>
      <c r="BE306" s="122">
        <f>BE303</f>
        <v>16000</v>
      </c>
      <c r="BG306" s="122">
        <f>BG303</f>
        <v>-200</v>
      </c>
      <c r="BH306" s="122">
        <f>BH303</f>
        <v>15800</v>
      </c>
      <c r="BJ306" s="122">
        <f>BJ303</f>
        <v>15144</v>
      </c>
      <c r="BK306" s="236">
        <f t="shared" ref="BK306" si="1411">BJ306/BH306</f>
        <v>0.95848101265822783</v>
      </c>
      <c r="BM306" s="122">
        <f>BM303</f>
        <v>16000</v>
      </c>
      <c r="BN306" s="236">
        <f t="shared" ref="BN306" si="1412">BM306/BJ306</f>
        <v>1.0565240359218173</v>
      </c>
      <c r="BO306" s="236">
        <f t="shared" ref="BO306" si="1413">BM306/BH306</f>
        <v>1.0126582278481013</v>
      </c>
      <c r="BQ306" s="122">
        <f>BQ303</f>
        <v>0</v>
      </c>
      <c r="BR306" s="122">
        <f>BR303</f>
        <v>16000</v>
      </c>
      <c r="BT306" s="122">
        <f>BT303</f>
        <v>0</v>
      </c>
      <c r="BU306" s="122">
        <f>BU303</f>
        <v>16000</v>
      </c>
      <c r="BW306" s="122">
        <f>BW303</f>
        <v>0</v>
      </c>
      <c r="BX306" s="122">
        <f>BX303</f>
        <v>16000</v>
      </c>
      <c r="BZ306" s="122">
        <f>BZ303</f>
        <v>0</v>
      </c>
      <c r="CA306" s="122">
        <f>CA303</f>
        <v>16000</v>
      </c>
      <c r="CC306" s="122">
        <f>CC303</f>
        <v>0</v>
      </c>
      <c r="CD306" s="122">
        <f>CD303</f>
        <v>16000</v>
      </c>
      <c r="CF306" s="122">
        <f>CF303</f>
        <v>0</v>
      </c>
      <c r="CG306" s="122">
        <f>CG303</f>
        <v>16000</v>
      </c>
      <c r="CI306" s="122">
        <f>CI303</f>
        <v>0</v>
      </c>
      <c r="CJ306" s="122">
        <f>CJ303</f>
        <v>16000</v>
      </c>
      <c r="CL306" s="319">
        <f>CL303</f>
        <v>0</v>
      </c>
      <c r="CM306" s="122">
        <f>CM303</f>
        <v>16000</v>
      </c>
      <c r="CO306" s="122">
        <f>CO303</f>
        <v>0</v>
      </c>
      <c r="CP306" s="122">
        <f>CP303</f>
        <v>16000</v>
      </c>
      <c r="CR306" s="122">
        <f>CR303</f>
        <v>0</v>
      </c>
      <c r="CS306" s="122">
        <f>CS303</f>
        <v>16000</v>
      </c>
      <c r="CU306" s="122">
        <f>CU303</f>
        <v>-3000</v>
      </c>
      <c r="CV306" s="122">
        <f>CV303</f>
        <v>13000</v>
      </c>
      <c r="CX306" s="122">
        <f>CX303</f>
        <v>0</v>
      </c>
      <c r="CY306" s="122">
        <f>CY303</f>
        <v>13000</v>
      </c>
      <c r="DA306" s="122">
        <f>DA303</f>
        <v>12746</v>
      </c>
      <c r="DC306" s="122">
        <f>DC303</f>
        <v>13000</v>
      </c>
      <c r="DE306" s="122">
        <f>DE303</f>
        <v>0</v>
      </c>
      <c r="DF306" s="122">
        <f>DF303</f>
        <v>13000</v>
      </c>
      <c r="DH306" s="122">
        <f>DH303</f>
        <v>0</v>
      </c>
      <c r="DI306" s="122">
        <f>DI303</f>
        <v>13000</v>
      </c>
      <c r="DK306" s="122">
        <f>DK303</f>
        <v>0</v>
      </c>
      <c r="DL306" s="122">
        <f>DL303</f>
        <v>13000</v>
      </c>
      <c r="DN306" s="122">
        <f>DN303</f>
        <v>0</v>
      </c>
      <c r="DO306" s="122">
        <f>DO303</f>
        <v>13000</v>
      </c>
      <c r="DQ306" s="122">
        <f>DQ303</f>
        <v>0</v>
      </c>
      <c r="DR306" s="122">
        <f>DR303</f>
        <v>13000</v>
      </c>
      <c r="DT306" s="122">
        <f>DT303</f>
        <v>0</v>
      </c>
      <c r="DU306" s="122">
        <f>DU303</f>
        <v>13000</v>
      </c>
      <c r="DW306" s="122">
        <f>DW303</f>
        <v>0</v>
      </c>
      <c r="DX306" s="122">
        <f>DX303</f>
        <v>13000</v>
      </c>
      <c r="DZ306" s="122">
        <f>DZ303</f>
        <v>0</v>
      </c>
      <c r="EA306" s="122">
        <f>EA303</f>
        <v>13000</v>
      </c>
      <c r="EC306" s="122">
        <f>EC303</f>
        <v>10</v>
      </c>
      <c r="ED306" s="122">
        <f>ED303</f>
        <v>13010</v>
      </c>
      <c r="EF306" s="122">
        <f>EF303</f>
        <v>1500</v>
      </c>
      <c r="EG306" s="122">
        <f>EG303</f>
        <v>14510</v>
      </c>
      <c r="EI306" s="122">
        <f>EI303</f>
        <v>13009</v>
      </c>
      <c r="EK306" s="122">
        <f>EK303</f>
        <v>30000</v>
      </c>
      <c r="EM306" s="122">
        <f>EM303</f>
        <v>0</v>
      </c>
      <c r="EN306" s="122">
        <f>EN303</f>
        <v>30000</v>
      </c>
      <c r="EP306" s="122">
        <f>EP303</f>
        <v>0</v>
      </c>
      <c r="EQ306" s="122">
        <f>EQ303</f>
        <v>30000</v>
      </c>
      <c r="ES306" s="122">
        <f>ES303</f>
        <v>0</v>
      </c>
      <c r="ET306" s="122">
        <f>ET303</f>
        <v>30000</v>
      </c>
      <c r="EV306" s="122">
        <f>EV303</f>
        <v>1000</v>
      </c>
      <c r="EW306" s="122">
        <f>EW303</f>
        <v>31000</v>
      </c>
      <c r="EY306" s="122">
        <f>EY303</f>
        <v>1500</v>
      </c>
      <c r="EZ306" s="122">
        <f>EZ303</f>
        <v>32500</v>
      </c>
      <c r="FB306" s="122">
        <f>FB303</f>
        <v>0</v>
      </c>
      <c r="FC306" s="122">
        <f>FC303</f>
        <v>32500</v>
      </c>
      <c r="FE306" s="122">
        <f>FE303</f>
        <v>0</v>
      </c>
      <c r="FF306" s="122">
        <f>FF303</f>
        <v>32500</v>
      </c>
      <c r="FH306" s="122">
        <f>FH303</f>
        <v>0</v>
      </c>
      <c r="FI306" s="122">
        <f>FI303</f>
        <v>32500</v>
      </c>
      <c r="FK306" s="122">
        <f>FK303</f>
        <v>0</v>
      </c>
      <c r="FL306" s="122">
        <f>FL303</f>
        <v>32500</v>
      </c>
      <c r="FN306" s="122">
        <f>FN303</f>
        <v>0</v>
      </c>
      <c r="FO306" s="122">
        <f>FO303</f>
        <v>32500</v>
      </c>
      <c r="FQ306" s="122">
        <v>0</v>
      </c>
      <c r="FR306" s="122">
        <v>32500</v>
      </c>
      <c r="FT306" s="122">
        <f>FT303</f>
        <v>32469</v>
      </c>
      <c r="FV306" s="122">
        <f>FV303</f>
        <v>35000</v>
      </c>
      <c r="FW306" s="235">
        <f t="shared" ref="FW306:FW307" si="1414">FV306/FT306</f>
        <v>1.0779512766022976</v>
      </c>
    </row>
    <row r="307" spans="1:179" ht="15.75" outlineLevel="1" thickTop="1">
      <c r="A307" s="1" t="s">
        <v>91</v>
      </c>
      <c r="B307" s="1" t="s">
        <v>238</v>
      </c>
      <c r="C307" s="4" t="s">
        <v>239</v>
      </c>
      <c r="D307" s="43">
        <v>292500</v>
      </c>
      <c r="E307" s="34">
        <v>34.19</v>
      </c>
      <c r="F307" s="43">
        <v>172982</v>
      </c>
      <c r="G307" s="34">
        <v>57.81</v>
      </c>
      <c r="H307" s="46">
        <v>100000</v>
      </c>
      <c r="I307" s="36">
        <v>100000</v>
      </c>
      <c r="J307" s="14"/>
      <c r="L307" s="118">
        <v>0</v>
      </c>
      <c r="M307" s="17">
        <f>L307/F307-1</f>
        <v>-1</v>
      </c>
      <c r="N307" s="17">
        <f>L307/I307-1</f>
        <v>-1</v>
      </c>
      <c r="Q307" s="118">
        <v>150000</v>
      </c>
      <c r="R307" s="15">
        <v>100000</v>
      </c>
      <c r="S307" s="118">
        <v>150000</v>
      </c>
      <c r="T307" s="15">
        <f>S307-Q307</f>
        <v>0</v>
      </c>
      <c r="U307" s="16">
        <f>S307/Q307-1</f>
        <v>0</v>
      </c>
      <c r="V307" s="140">
        <v>50000</v>
      </c>
      <c r="W307">
        <v>50000</v>
      </c>
      <c r="Y307" s="118">
        <v>150000</v>
      </c>
      <c r="AA307" s="118">
        <v>270000</v>
      </c>
      <c r="AB307" s="185">
        <f t="shared" ref="AB307" si="1415">AA307-Y307</f>
        <v>120000</v>
      </c>
      <c r="AC307" s="187">
        <f t="shared" ref="AC307" si="1416">AA307-Y307</f>
        <v>120000</v>
      </c>
      <c r="AD307" s="187"/>
      <c r="AE307" s="118">
        <v>270000</v>
      </c>
      <c r="AF307" s="182"/>
      <c r="AH307" s="15">
        <v>240000</v>
      </c>
      <c r="AI307" s="17">
        <f t="shared" si="1410"/>
        <v>0.88888888888888884</v>
      </c>
      <c r="AK307" s="118">
        <v>250000</v>
      </c>
      <c r="AR307">
        <v>100000</v>
      </c>
      <c r="AS307" s="15">
        <f>AR307+AK307</f>
        <v>350000</v>
      </c>
      <c r="AV307" s="15">
        <f t="shared" ref="AV307" si="1417">AS307+AU307</f>
        <v>350000</v>
      </c>
      <c r="AX307" s="15"/>
      <c r="AY307" s="15">
        <f t="shared" ref="AY307" si="1418">AV307+AX307</f>
        <v>350000</v>
      </c>
      <c r="BB307" s="15">
        <f t="shared" ref="BB307" si="1419">AY307+BA307</f>
        <v>350000</v>
      </c>
      <c r="BD307" s="15"/>
      <c r="BE307" s="15">
        <f t="shared" ref="BE307" si="1420">BB307+BD307</f>
        <v>350000</v>
      </c>
      <c r="BG307" s="15"/>
      <c r="BH307" s="15">
        <f t="shared" ref="BH307" si="1421">BE307+BG307</f>
        <v>350000</v>
      </c>
      <c r="BJ307" s="15">
        <v>300000</v>
      </c>
      <c r="BK307" s="235">
        <f t="shared" ref="BK307" si="1422">BJ307/BH307</f>
        <v>0.8571428571428571</v>
      </c>
      <c r="BM307" s="227">
        <v>350000</v>
      </c>
      <c r="BN307" s="235">
        <f t="shared" ref="BN307" si="1423">BM307/BJ307</f>
        <v>1.1666666666666667</v>
      </c>
      <c r="BO307" s="235">
        <f t="shared" ref="BO307" si="1424">BM307/BH307</f>
        <v>1</v>
      </c>
      <c r="BQ307" s="15"/>
      <c r="BR307" s="15">
        <f t="shared" ref="BR307" si="1425">BM307+BQ307</f>
        <v>350000</v>
      </c>
      <c r="BT307" s="15"/>
      <c r="BU307" s="15">
        <f>BR307+BT307</f>
        <v>350000</v>
      </c>
      <c r="BW307" s="15"/>
      <c r="BX307" s="15">
        <f>BU307+BW307</f>
        <v>350000</v>
      </c>
      <c r="BZ307" s="15"/>
      <c r="CA307" s="15">
        <f>BX307+BZ307</f>
        <v>350000</v>
      </c>
      <c r="CC307" s="15"/>
      <c r="CD307" s="15">
        <f>CA307+CC307</f>
        <v>350000</v>
      </c>
      <c r="CF307" s="15"/>
      <c r="CG307" s="15">
        <f>CD307+CF307</f>
        <v>350000</v>
      </c>
      <c r="CI307" s="15"/>
      <c r="CJ307" s="15">
        <f>CG307+CI307</f>
        <v>350000</v>
      </c>
      <c r="CM307" s="15">
        <f>CJ307+CL307</f>
        <v>350000</v>
      </c>
      <c r="CP307" s="15">
        <f>CM307+CO307</f>
        <v>350000</v>
      </c>
      <c r="CS307" s="15">
        <f>CP307+CR307</f>
        <v>350000</v>
      </c>
      <c r="CU307" s="227">
        <v>100000</v>
      </c>
      <c r="CV307" s="15">
        <f>CS307+CU307</f>
        <v>450000</v>
      </c>
      <c r="CX307" s="227"/>
      <c r="CY307" s="15">
        <f>CV307+CX307</f>
        <v>450000</v>
      </c>
      <c r="DA307" s="15">
        <v>450000</v>
      </c>
      <c r="DC307" s="15">
        <v>200000</v>
      </c>
      <c r="DE307" s="15"/>
      <c r="DF307" s="15">
        <f t="shared" ref="DF307" si="1426">DC307+DE307</f>
        <v>200000</v>
      </c>
      <c r="DH307" s="15"/>
      <c r="DI307" s="15">
        <f t="shared" ref="DI307" si="1427">DF307+DH307</f>
        <v>200000</v>
      </c>
      <c r="DK307" s="15"/>
      <c r="DL307" s="15">
        <f t="shared" ref="DL307" si="1428">DI307+DK307</f>
        <v>200000</v>
      </c>
      <c r="DN307" s="15"/>
      <c r="DO307" s="15">
        <f t="shared" ref="DO307" si="1429">DL307+DN307</f>
        <v>200000</v>
      </c>
      <c r="DQ307" s="15"/>
      <c r="DR307" s="15">
        <f t="shared" ref="DR307" si="1430">DO307+DQ307</f>
        <v>200000</v>
      </c>
      <c r="DT307" s="15"/>
      <c r="DU307" s="15">
        <f t="shared" ref="DU307" si="1431">DR307+DT307</f>
        <v>200000</v>
      </c>
      <c r="DW307" s="227">
        <v>900000</v>
      </c>
      <c r="DX307" s="15">
        <f t="shared" ref="DX307" si="1432">DU307+DW307</f>
        <v>1100000</v>
      </c>
      <c r="DZ307" s="15"/>
      <c r="EA307" s="15">
        <f t="shared" ref="EA307" si="1433">DX307+DZ307</f>
        <v>1100000</v>
      </c>
      <c r="EC307" s="15"/>
      <c r="ED307" s="15">
        <f t="shared" ref="ED307" si="1434">EA307+EC307</f>
        <v>1100000</v>
      </c>
      <c r="EF307" s="15"/>
      <c r="EG307" s="15">
        <f t="shared" ref="EG307" si="1435">ED307+EF307</f>
        <v>1100000</v>
      </c>
      <c r="EI307" s="15">
        <v>1093628</v>
      </c>
      <c r="EK307" s="15">
        <v>100000</v>
      </c>
      <c r="EM307" s="15"/>
      <c r="EN307" s="15">
        <f t="shared" ref="EN307" si="1436">EK307+EM307</f>
        <v>100000</v>
      </c>
      <c r="EP307" s="15"/>
      <c r="EQ307" s="15">
        <f t="shared" ref="EQ307" si="1437">EN307+EP307</f>
        <v>100000</v>
      </c>
      <c r="ES307" s="15"/>
      <c r="ET307" s="15">
        <f t="shared" ref="ET307" si="1438">EQ307+ES307</f>
        <v>100000</v>
      </c>
      <c r="EW307" s="15">
        <f t="shared" ref="EW307" si="1439">ET307+EV307</f>
        <v>100000</v>
      </c>
      <c r="EZ307" s="15">
        <f t="shared" ref="EZ307" si="1440">EW307+EY307</f>
        <v>100000</v>
      </c>
      <c r="FC307" s="15">
        <f t="shared" ref="FC307" si="1441">EZ307+FB307</f>
        <v>100000</v>
      </c>
      <c r="FF307" s="15">
        <f t="shared" ref="FF307" si="1442">FC307+FE307</f>
        <v>100000</v>
      </c>
      <c r="FI307" s="15">
        <f t="shared" ref="FI307" si="1443">FF307+FH307</f>
        <v>100000</v>
      </c>
      <c r="FK307" s="227">
        <v>120000</v>
      </c>
      <c r="FL307" s="15">
        <f t="shared" ref="FL307" si="1444">FI307+FK307</f>
        <v>220000</v>
      </c>
      <c r="FO307" s="15">
        <f t="shared" ref="FO307" si="1445">FL307+FN307</f>
        <v>220000</v>
      </c>
      <c r="FR307" s="15">
        <v>220000</v>
      </c>
      <c r="FT307" s="15">
        <v>218305</v>
      </c>
      <c r="FV307" s="15">
        <v>200000</v>
      </c>
      <c r="FW307" s="235">
        <f t="shared" si="1414"/>
        <v>0.9161494239710497</v>
      </c>
    </row>
    <row r="308" spans="1:179" outlineLevel="1">
      <c r="A308" s="1" t="s">
        <v>91</v>
      </c>
      <c r="B308" s="1" t="s">
        <v>240</v>
      </c>
      <c r="C308" s="4" t="s">
        <v>241</v>
      </c>
      <c r="D308" s="43">
        <v>50000</v>
      </c>
      <c r="E308" s="34">
        <v>0</v>
      </c>
      <c r="F308" s="43">
        <v>50000</v>
      </c>
      <c r="G308" s="34">
        <v>0</v>
      </c>
      <c r="H308" s="46">
        <v>0</v>
      </c>
      <c r="I308" s="36">
        <v>0</v>
      </c>
      <c r="J308" s="14"/>
      <c r="L308" s="118">
        <v>0</v>
      </c>
      <c r="M308" s="17">
        <f>L308/F308-1</f>
        <v>-1</v>
      </c>
      <c r="N308" s="17" t="e">
        <f>L308/I308-1</f>
        <v>#DIV/0!</v>
      </c>
      <c r="Y308" s="118"/>
      <c r="AF308" s="182"/>
      <c r="AH308" s="15"/>
      <c r="AX308" s="15"/>
      <c r="BD308" s="15"/>
      <c r="BG308" s="15"/>
      <c r="DE308" s="15"/>
      <c r="DH308" s="15"/>
      <c r="DK308" s="15"/>
      <c r="DN308" s="15"/>
      <c r="DQ308" s="15"/>
      <c r="DT308" s="15"/>
      <c r="DW308" s="15"/>
      <c r="DZ308" s="15"/>
      <c r="EC308" s="15"/>
      <c r="EF308" s="15"/>
      <c r="EK308" s="15"/>
      <c r="EM308" s="15"/>
      <c r="EP308" s="15"/>
      <c r="ES308" s="15"/>
    </row>
    <row r="309" spans="1:179" outlineLevel="1">
      <c r="A309" s="1" t="s">
        <v>91</v>
      </c>
      <c r="B309" s="1" t="s">
        <v>242</v>
      </c>
      <c r="C309" s="4" t="s">
        <v>243</v>
      </c>
      <c r="D309" s="43">
        <v>0</v>
      </c>
      <c r="E309" s="34">
        <v>0</v>
      </c>
      <c r="F309" s="43">
        <v>0</v>
      </c>
      <c r="G309" s="34">
        <v>0</v>
      </c>
      <c r="H309" s="46">
        <v>924000</v>
      </c>
      <c r="I309" s="36">
        <v>924000</v>
      </c>
      <c r="J309" s="14"/>
      <c r="L309" s="118">
        <v>0</v>
      </c>
      <c r="M309" s="17" t="e">
        <f>L309/F309-1</f>
        <v>#DIV/0!</v>
      </c>
      <c r="N309" s="17">
        <f>L309/I309-1</f>
        <v>-1</v>
      </c>
      <c r="Q309" s="118">
        <v>0</v>
      </c>
      <c r="R309" s="15">
        <v>60000</v>
      </c>
      <c r="T309" s="15">
        <f>S309-Q309</f>
        <v>0</v>
      </c>
      <c r="U309" s="16" t="e">
        <f>S309/Q309-1</f>
        <v>#DIV/0!</v>
      </c>
      <c r="Y309" s="118"/>
      <c r="AF309" s="182"/>
      <c r="AH309" s="187">
        <v>1210000</v>
      </c>
      <c r="AX309" s="15"/>
      <c r="BD309" s="15"/>
      <c r="BG309" s="15"/>
      <c r="BJ309" s="15">
        <v>330000</v>
      </c>
      <c r="BM309" s="15"/>
      <c r="BN309" s="235">
        <f t="shared" ref="BN309:BN310" si="1446">BM309/BJ309</f>
        <v>0</v>
      </c>
      <c r="BO309" s="235" t="e">
        <f t="shared" ref="BO309:BO310" si="1447">BM309/BH309</f>
        <v>#DIV/0!</v>
      </c>
      <c r="BQ309" s="15"/>
      <c r="BR309" s="15"/>
      <c r="BT309" s="15"/>
      <c r="BU309" s="15"/>
      <c r="BW309" s="15"/>
      <c r="BX309" s="15"/>
      <c r="BZ309" s="15"/>
      <c r="CA309" s="15"/>
      <c r="CC309" s="15"/>
      <c r="CD309" s="15"/>
      <c r="CF309" s="15"/>
      <c r="CG309" s="15"/>
      <c r="CI309" s="15"/>
      <c r="CJ309" s="15"/>
      <c r="CM309" s="15"/>
      <c r="CP309" s="15"/>
      <c r="CS309" s="15"/>
      <c r="CV309" s="15"/>
      <c r="CY309" s="15"/>
      <c r="DA309" s="15">
        <v>1686000</v>
      </c>
      <c r="DE309" s="15"/>
      <c r="DH309" s="15"/>
      <c r="DK309" s="15"/>
      <c r="DN309" s="15"/>
      <c r="DQ309" s="15"/>
      <c r="DT309" s="15"/>
      <c r="DW309" s="15"/>
      <c r="DZ309" s="15"/>
      <c r="EC309" s="15"/>
      <c r="EF309" s="15"/>
      <c r="EI309" s="15">
        <v>2019200</v>
      </c>
      <c r="EK309" s="15"/>
      <c r="EM309" s="15"/>
      <c r="EP309" s="15"/>
      <c r="ES309" s="15"/>
      <c r="FT309" s="15">
        <v>621000</v>
      </c>
    </row>
    <row r="310" spans="1:179" outlineLevel="1">
      <c r="A310" s="1" t="s">
        <v>91</v>
      </c>
      <c r="B310" s="1" t="s">
        <v>244</v>
      </c>
      <c r="C310" s="4" t="s">
        <v>245</v>
      </c>
      <c r="D310" s="43">
        <v>0</v>
      </c>
      <c r="E310" s="34">
        <v>0</v>
      </c>
      <c r="F310" s="43">
        <v>0</v>
      </c>
      <c r="G310" s="34">
        <v>0</v>
      </c>
      <c r="H310" s="46">
        <v>152902</v>
      </c>
      <c r="I310" s="36">
        <v>152902</v>
      </c>
      <c r="J310" s="14"/>
      <c r="L310" s="118">
        <v>0</v>
      </c>
      <c r="M310" s="17" t="e">
        <f>L310/F310-1</f>
        <v>#DIV/0!</v>
      </c>
      <c r="N310" s="17">
        <f>L310/I310-1</f>
        <v>-1</v>
      </c>
      <c r="Y310" s="118"/>
      <c r="AF310" s="182"/>
      <c r="AH310" s="187">
        <v>59500</v>
      </c>
      <c r="AX310" s="15"/>
      <c r="BD310" s="15"/>
      <c r="BG310" s="15"/>
      <c r="BJ310" s="15">
        <v>70800</v>
      </c>
      <c r="BM310" s="15"/>
      <c r="BN310" s="235">
        <f t="shared" si="1446"/>
        <v>0</v>
      </c>
      <c r="BO310" s="235" t="e">
        <f t="shared" si="1447"/>
        <v>#DIV/0!</v>
      </c>
      <c r="BQ310" s="15"/>
      <c r="BR310" s="15"/>
      <c r="BT310" s="15"/>
      <c r="BU310" s="15"/>
      <c r="BW310" s="15"/>
      <c r="BX310" s="15"/>
      <c r="BZ310" s="15"/>
      <c r="CA310" s="15"/>
      <c r="CC310" s="15"/>
      <c r="CD310" s="15"/>
      <c r="CF310" s="15"/>
      <c r="CG310" s="15"/>
      <c r="CI310" s="15"/>
      <c r="CJ310" s="15"/>
      <c r="CM310" s="15"/>
      <c r="CP310" s="15"/>
      <c r="CS310" s="15"/>
      <c r="CV310" s="15"/>
      <c r="CY310" s="15"/>
      <c r="DA310" s="15">
        <v>196500</v>
      </c>
      <c r="DE310" s="15"/>
      <c r="DH310" s="15"/>
      <c r="DK310" s="15"/>
      <c r="DN310" s="15"/>
      <c r="DQ310" s="15"/>
      <c r="DT310" s="15"/>
      <c r="DW310" s="15"/>
      <c r="DZ310" s="15"/>
      <c r="EC310" s="15"/>
      <c r="EF310" s="15"/>
      <c r="EI310" s="15">
        <v>30000</v>
      </c>
      <c r="EK310" s="15"/>
      <c r="EM310" s="15"/>
      <c r="EP310" s="15"/>
      <c r="ES310" s="15"/>
      <c r="FT310" s="15">
        <v>145000</v>
      </c>
    </row>
    <row r="311" spans="1:179" outlineLevel="1">
      <c r="A311" s="1" t="s">
        <v>91</v>
      </c>
      <c r="B311" s="4" t="s">
        <v>46</v>
      </c>
      <c r="C311" s="4" t="s">
        <v>96</v>
      </c>
      <c r="D311" s="43">
        <v>342500</v>
      </c>
      <c r="E311" s="34">
        <v>343.62</v>
      </c>
      <c r="F311" s="43">
        <v>222982</v>
      </c>
      <c r="G311" s="34">
        <v>527.79999999999995</v>
      </c>
      <c r="H311" s="46">
        <v>1176902</v>
      </c>
      <c r="Y311" s="118"/>
      <c r="AF311" s="182"/>
      <c r="AH311" s="15"/>
      <c r="AX311" s="15"/>
      <c r="BD311" s="15"/>
      <c r="BG311" s="15"/>
      <c r="BM311" s="15"/>
      <c r="BQ311" s="15"/>
      <c r="BR311" s="15"/>
      <c r="BT311" s="15"/>
      <c r="BU311" s="15"/>
      <c r="BW311" s="15"/>
      <c r="BX311" s="15"/>
      <c r="BZ311" s="15"/>
      <c r="CA311" s="15"/>
      <c r="CC311" s="15"/>
      <c r="CD311" s="15"/>
      <c r="CF311" s="15"/>
      <c r="CG311" s="15"/>
      <c r="CI311" s="15"/>
      <c r="CJ311" s="15"/>
      <c r="CM311" s="15"/>
      <c r="CP311" s="15"/>
      <c r="CS311" s="15"/>
      <c r="CV311" s="15"/>
      <c r="CY311" s="15"/>
      <c r="DE311" s="15"/>
      <c r="DH311" s="15"/>
      <c r="DK311" s="15"/>
      <c r="DN311" s="15"/>
      <c r="DQ311" s="15"/>
      <c r="DT311" s="15"/>
      <c r="DU311" t="s">
        <v>463</v>
      </c>
      <c r="DW311" s="15"/>
      <c r="DZ311" s="15"/>
      <c r="EC311" s="15"/>
      <c r="EF311" s="15"/>
      <c r="EK311" s="15"/>
      <c r="EM311" s="15"/>
      <c r="EP311" s="15"/>
      <c r="ES311" s="15"/>
    </row>
    <row r="312" spans="1:179" outlineLevel="1">
      <c r="A312" s="1" t="s">
        <v>97</v>
      </c>
      <c r="B312" s="4" t="s">
        <v>48</v>
      </c>
      <c r="C312" s="4" t="s">
        <v>98</v>
      </c>
      <c r="D312" s="43">
        <v>342500</v>
      </c>
      <c r="E312" s="34">
        <v>343.62</v>
      </c>
      <c r="F312" s="43">
        <v>222982</v>
      </c>
      <c r="G312" s="34">
        <v>527.79999999999995</v>
      </c>
      <c r="H312" s="46">
        <v>1176902</v>
      </c>
      <c r="Y312" s="118"/>
      <c r="AF312" s="182"/>
      <c r="AH312" s="15"/>
      <c r="AX312" s="15"/>
      <c r="BD312" s="15"/>
      <c r="BG312" s="15"/>
      <c r="DE312" s="15"/>
      <c r="DH312" s="15"/>
      <c r="DK312" s="15"/>
      <c r="DN312" s="15"/>
      <c r="DQ312" s="15"/>
      <c r="DT312" s="15"/>
      <c r="DW312" s="15"/>
      <c r="DZ312" s="15"/>
      <c r="EC312" s="15"/>
      <c r="EF312" s="15"/>
      <c r="EK312" s="15"/>
      <c r="EM312" s="15"/>
      <c r="EP312" s="15"/>
      <c r="ES312" s="15"/>
    </row>
    <row r="313" spans="1:179" ht="14.25" customHeight="1" thickBot="1">
      <c r="A313" s="54" t="s">
        <v>91</v>
      </c>
      <c r="B313" s="55" t="s">
        <v>316</v>
      </c>
      <c r="C313" s="56" t="s">
        <v>354</v>
      </c>
      <c r="D313" s="57">
        <f>SUM(D307:D310)</f>
        <v>342500</v>
      </c>
      <c r="E313" s="58"/>
      <c r="F313" s="57">
        <f>SUM(F307:F310)</f>
        <v>222982</v>
      </c>
      <c r="G313" s="58"/>
      <c r="H313" s="57"/>
      <c r="I313" s="57">
        <f>SUM(I307:I310)</f>
        <v>1176902</v>
      </c>
      <c r="J313" s="138" t="e">
        <f>I313/$I$332</f>
        <v>#REF!</v>
      </c>
      <c r="K313" s="60"/>
      <c r="L313" s="122">
        <f>SUM(L307:L310)</f>
        <v>0</v>
      </c>
      <c r="M313" s="61">
        <f>L313/F313-1</f>
        <v>-1</v>
      </c>
      <c r="N313" s="61">
        <f>L313/I313-1</f>
        <v>-1</v>
      </c>
      <c r="Q313" s="122">
        <f>SUM(Q307:Q310)</f>
        <v>150000</v>
      </c>
      <c r="R313" s="122">
        <f>SUM(R307:R310)</f>
        <v>160000</v>
      </c>
      <c r="S313" s="122">
        <f>SUM(S307:S310)</f>
        <v>150000</v>
      </c>
      <c r="T313" s="122">
        <f>SUM(T307:T310)</f>
        <v>0</v>
      </c>
      <c r="U313" s="155">
        <f>S313/Q313-1</f>
        <v>0</v>
      </c>
      <c r="Y313" s="122">
        <f>SUM(Y307:Y310)</f>
        <v>150000</v>
      </c>
      <c r="AA313" s="122">
        <f>SUM(AA307:AA310)</f>
        <v>270000</v>
      </c>
      <c r="AB313" s="122">
        <f>SUM(AB307:AB310)</f>
        <v>120000</v>
      </c>
      <c r="AE313" s="122">
        <f>SUM(AE307:AE310)</f>
        <v>270000</v>
      </c>
      <c r="AF313" s="182"/>
      <c r="AH313" s="122">
        <f>SUM(AH307:AH308)</f>
        <v>240000</v>
      </c>
      <c r="AI313" s="17">
        <f t="shared" ref="AI313:AI315" si="1448">AH313/AE313</f>
        <v>0.88888888888888884</v>
      </c>
      <c r="AK313" s="122">
        <f>SUM(AK307:AK308)</f>
        <v>250000</v>
      </c>
      <c r="AL313" s="193" t="e">
        <f>AK313/L313</f>
        <v>#DIV/0!</v>
      </c>
      <c r="AM313" s="17">
        <f>AK313/AE313</f>
        <v>0.92592592592592593</v>
      </c>
      <c r="AN313" s="17">
        <f>AK313/AH313</f>
        <v>1.0416666666666667</v>
      </c>
      <c r="AR313" s="122">
        <f>SUM(AR307:AR308)</f>
        <v>100000</v>
      </c>
      <c r="AS313" s="122">
        <f>SUM(AS307:AS308)</f>
        <v>350000</v>
      </c>
      <c r="AU313" s="122">
        <f>SUM(AU307:AU308)</f>
        <v>0</v>
      </c>
      <c r="AV313" s="122">
        <f>SUM(AV307:AV308)</f>
        <v>350000</v>
      </c>
      <c r="AX313" s="122">
        <f>SUM(AX307:AX308)</f>
        <v>0</v>
      </c>
      <c r="AY313" s="122">
        <f>SUM(AY307:AY308)</f>
        <v>350000</v>
      </c>
      <c r="BA313" s="122">
        <f>SUM(BA307:BA308)</f>
        <v>0</v>
      </c>
      <c r="BB313" s="122">
        <f>SUM(BB307:BB308)</f>
        <v>350000</v>
      </c>
      <c r="BD313" s="122">
        <f>SUM(BD307:BD308)</f>
        <v>0</v>
      </c>
      <c r="BE313" s="122">
        <f>SUM(BE307:BE308)</f>
        <v>350000</v>
      </c>
      <c r="BG313" s="122">
        <f>SUM(BG307:BG308)</f>
        <v>0</v>
      </c>
      <c r="BH313" s="122">
        <f>SUM(BH307:BH308)</f>
        <v>350000</v>
      </c>
      <c r="BJ313" s="122">
        <f>SUM(BJ307:BJ308)</f>
        <v>300000</v>
      </c>
      <c r="BK313" s="236">
        <f t="shared" ref="BK313" si="1449">BJ313/BH313</f>
        <v>0.8571428571428571</v>
      </c>
      <c r="BM313" s="122">
        <f>SUM(BM307:BM308)</f>
        <v>350000</v>
      </c>
      <c r="BN313" s="236">
        <f t="shared" ref="BN313" si="1450">BM313/BJ313</f>
        <v>1.1666666666666667</v>
      </c>
      <c r="BO313" s="236">
        <f t="shared" ref="BO313" si="1451">BM313/BH313</f>
        <v>1</v>
      </c>
      <c r="BQ313" s="122">
        <f>SUM(BQ307:BQ308)</f>
        <v>0</v>
      </c>
      <c r="BR313" s="122">
        <f>SUM(BR307:BR308)</f>
        <v>350000</v>
      </c>
      <c r="BT313" s="122">
        <f>SUM(BT307:BT308)</f>
        <v>0</v>
      </c>
      <c r="BU313" s="122">
        <f>SUM(BU307:BU308)</f>
        <v>350000</v>
      </c>
      <c r="BW313" s="122">
        <f>SUM(BW307:BW308)</f>
        <v>0</v>
      </c>
      <c r="BX313" s="122">
        <f>SUM(BX307:BX308)</f>
        <v>350000</v>
      </c>
      <c r="BZ313" s="122">
        <f>SUM(BZ307:BZ308)</f>
        <v>0</v>
      </c>
      <c r="CA313" s="122">
        <f>SUM(CA307:CA308)</f>
        <v>350000</v>
      </c>
      <c r="CC313" s="122">
        <f>SUM(CC307:CC308)</f>
        <v>0</v>
      </c>
      <c r="CD313" s="122">
        <f>SUM(CD307:CD308)</f>
        <v>350000</v>
      </c>
      <c r="CF313" s="122">
        <f>SUM(CF307:CF308)</f>
        <v>0</v>
      </c>
      <c r="CG313" s="122">
        <f>SUM(CG307:CG308)</f>
        <v>350000</v>
      </c>
      <c r="CI313" s="122">
        <f>SUM(CI307:CI308)</f>
        <v>0</v>
      </c>
      <c r="CJ313" s="122">
        <f>SUM(CJ307:CJ308)</f>
        <v>350000</v>
      </c>
      <c r="CL313" s="319">
        <f>SUM(CL307:CL308)</f>
        <v>0</v>
      </c>
      <c r="CM313" s="122">
        <f>SUM(CM307:CM308)</f>
        <v>350000</v>
      </c>
      <c r="CO313" s="122">
        <f>SUM(CO307:CO308)</f>
        <v>0</v>
      </c>
      <c r="CP313" s="122">
        <f>SUM(CP307:CP308)</f>
        <v>350000</v>
      </c>
      <c r="CR313" s="122">
        <f>SUM(CR307:CR308)</f>
        <v>0</v>
      </c>
      <c r="CS313" s="122">
        <f>SUM(CS307:CS308)</f>
        <v>350000</v>
      </c>
      <c r="CU313" s="122">
        <f>SUM(CU307:CU308)</f>
        <v>100000</v>
      </c>
      <c r="CV313" s="122">
        <f>SUM(CV307:CV308)</f>
        <v>450000</v>
      </c>
      <c r="CX313" s="122">
        <f>SUM(CX307:CX308)</f>
        <v>0</v>
      </c>
      <c r="CY313" s="122">
        <f>SUM(CY307:CY308)</f>
        <v>450000</v>
      </c>
      <c r="DA313" s="122">
        <f>SUM(DA307:DA308)</f>
        <v>450000</v>
      </c>
      <c r="DC313" s="122">
        <f>SUM(DC307:DC308)</f>
        <v>200000</v>
      </c>
      <c r="DE313" s="122">
        <f>SUM(DE307:DE308)</f>
        <v>0</v>
      </c>
      <c r="DF313" s="122">
        <f>SUM(DF307:DF308)</f>
        <v>200000</v>
      </c>
      <c r="DH313" s="122">
        <f>SUM(DH307:DH308)</f>
        <v>0</v>
      </c>
      <c r="DI313" s="122">
        <f>SUM(DI307:DI308)</f>
        <v>200000</v>
      </c>
      <c r="DK313" s="122">
        <f>SUM(DK307:DK308)</f>
        <v>0</v>
      </c>
      <c r="DL313" s="122">
        <f>SUM(DL307:DL308)</f>
        <v>200000</v>
      </c>
      <c r="DN313" s="122">
        <f>SUM(DN307:DN308)</f>
        <v>0</v>
      </c>
      <c r="DO313" s="122">
        <f>SUM(DO307:DO308)</f>
        <v>200000</v>
      </c>
      <c r="DQ313" s="122">
        <f>SUM(DQ307:DQ308)</f>
        <v>0</v>
      </c>
      <c r="DR313" s="122">
        <f>SUM(DR307:DR308)</f>
        <v>200000</v>
      </c>
      <c r="DT313" s="122">
        <f>SUM(DT307:DT308)</f>
        <v>0</v>
      </c>
      <c r="DU313" s="122">
        <f>SUM(DU307:DU308)</f>
        <v>200000</v>
      </c>
      <c r="DW313" s="122">
        <f>SUM(DW307:DW308)</f>
        <v>900000</v>
      </c>
      <c r="DX313" s="122">
        <f>SUM(DX307:DX308)</f>
        <v>1100000</v>
      </c>
      <c r="DZ313" s="122">
        <f>SUM(DZ307:DZ308)</f>
        <v>0</v>
      </c>
      <c r="EA313" s="122">
        <f>SUM(EA307:EA308)</f>
        <v>1100000</v>
      </c>
      <c r="EC313" s="122">
        <f>SUM(EC307:EC308)</f>
        <v>0</v>
      </c>
      <c r="ED313" s="122">
        <f>SUM(ED307:ED308)</f>
        <v>1100000</v>
      </c>
      <c r="EF313" s="122">
        <f>SUM(EF307:EF308)</f>
        <v>0</v>
      </c>
      <c r="EG313" s="122">
        <f>SUM(EG307:EG308)</f>
        <v>1100000</v>
      </c>
      <c r="EI313" s="122">
        <f>SUM(EI307:EI308)</f>
        <v>1093628</v>
      </c>
      <c r="EK313" s="122">
        <f>SUM(EK307:EK308)</f>
        <v>100000</v>
      </c>
      <c r="EM313" s="122">
        <f>SUM(EM307:EM308)</f>
        <v>0</v>
      </c>
      <c r="EN313" s="122">
        <f>SUM(EN307:EN308)</f>
        <v>100000</v>
      </c>
      <c r="EP313" s="122">
        <f>SUM(EP307:EP308)</f>
        <v>0</v>
      </c>
      <c r="EQ313" s="122">
        <f>SUM(EQ307:EQ308)</f>
        <v>100000</v>
      </c>
      <c r="ES313" s="122">
        <f>SUM(ES307:ES308)</f>
        <v>0</v>
      </c>
      <c r="ET313" s="122">
        <f>SUM(ET307:ET308)</f>
        <v>100000</v>
      </c>
      <c r="EV313" s="122">
        <f>SUM(EV307:EV308)</f>
        <v>0</v>
      </c>
      <c r="EW313" s="122">
        <f>SUM(EW307:EW308)</f>
        <v>100000</v>
      </c>
      <c r="EY313" s="122">
        <f>SUM(EY307:EY308)</f>
        <v>0</v>
      </c>
      <c r="EZ313" s="122">
        <f>SUM(EZ307:EZ308)</f>
        <v>100000</v>
      </c>
      <c r="FB313" s="122">
        <f>SUM(FB307:FB308)</f>
        <v>0</v>
      </c>
      <c r="FC313" s="122">
        <f>SUM(FC307:FC308)</f>
        <v>100000</v>
      </c>
      <c r="FE313" s="122">
        <f>SUM(FE307:FE308)</f>
        <v>0</v>
      </c>
      <c r="FF313" s="122">
        <f>SUM(FF307:FF308)</f>
        <v>100000</v>
      </c>
      <c r="FH313" s="122">
        <f>SUM(FH307:FH308)</f>
        <v>0</v>
      </c>
      <c r="FI313" s="122">
        <f>SUM(FI307:FI308)</f>
        <v>100000</v>
      </c>
      <c r="FK313" s="122">
        <f>SUM(FK307:FK308)</f>
        <v>120000</v>
      </c>
      <c r="FL313" s="122">
        <f>SUM(FL307:FL308)</f>
        <v>220000</v>
      </c>
      <c r="FN313" s="122">
        <f>SUM(FN307:FN308)</f>
        <v>0</v>
      </c>
      <c r="FO313" s="122">
        <f>SUM(FO307:FO308)</f>
        <v>220000</v>
      </c>
      <c r="FQ313" s="122">
        <v>0</v>
      </c>
      <c r="FR313" s="122">
        <v>220000</v>
      </c>
      <c r="FT313" s="122">
        <f>SUM(FT307:FT308)</f>
        <v>218305</v>
      </c>
      <c r="FV313" s="122">
        <f>SUM(FV307:FV308)</f>
        <v>200000</v>
      </c>
      <c r="FW313" s="235">
        <f t="shared" ref="FW313" si="1452">FV313/FT313</f>
        <v>0.9161494239710497</v>
      </c>
    </row>
    <row r="314" spans="1:179" ht="15.75" outlineLevel="2" thickTop="1">
      <c r="A314" s="1" t="s">
        <v>246</v>
      </c>
      <c r="B314" s="1" t="s">
        <v>247</v>
      </c>
      <c r="C314" s="4" t="s">
        <v>248</v>
      </c>
      <c r="D314" s="43">
        <v>75000</v>
      </c>
      <c r="E314" s="34">
        <v>17.45</v>
      </c>
      <c r="F314" s="43">
        <v>75000</v>
      </c>
      <c r="G314" s="34">
        <v>17.45</v>
      </c>
      <c r="H314" s="46">
        <v>13084</v>
      </c>
      <c r="I314" s="15">
        <v>13084</v>
      </c>
      <c r="K314" t="s">
        <v>332</v>
      </c>
      <c r="L314" s="118">
        <v>20000</v>
      </c>
      <c r="M314" s="17">
        <f>L314/F314-1</f>
        <v>-0.73333333333333339</v>
      </c>
      <c r="N314" s="17">
        <f>L314/I314-1</f>
        <v>0.52858453072454914</v>
      </c>
      <c r="Q314" s="118">
        <v>60000</v>
      </c>
      <c r="R314" s="15">
        <v>7570</v>
      </c>
      <c r="S314" s="118">
        <v>30000</v>
      </c>
      <c r="T314" s="15">
        <f>S314-Q314</f>
        <v>-30000</v>
      </c>
      <c r="U314" s="16">
        <f>S314/Q314-1</f>
        <v>-0.5</v>
      </c>
      <c r="Y314" s="118">
        <v>30000</v>
      </c>
      <c r="AA314" s="118">
        <v>20000</v>
      </c>
      <c r="AB314" s="185">
        <f t="shared" ref="AB314" si="1453">AA314-Y314</f>
        <v>-10000</v>
      </c>
      <c r="AC314" s="187">
        <f t="shared" ref="AC314" si="1454">AA314-Y314</f>
        <v>-10000</v>
      </c>
      <c r="AD314" s="187"/>
      <c r="AE314" s="118">
        <v>20000</v>
      </c>
      <c r="AF314" s="182"/>
      <c r="AH314" s="15">
        <v>14304</v>
      </c>
      <c r="AI314" s="17">
        <f t="shared" si="1448"/>
        <v>0.71519999999999995</v>
      </c>
      <c r="AK314" s="118">
        <v>20000</v>
      </c>
      <c r="AP314" s="220">
        <v>20000</v>
      </c>
      <c r="AS314" s="15">
        <f>AR314+AK314</f>
        <v>20000</v>
      </c>
      <c r="AV314" s="15">
        <f t="shared" ref="AV314" si="1455">AS314+AU314</f>
        <v>20000</v>
      </c>
      <c r="AX314" s="15"/>
      <c r="AY314" s="15">
        <f t="shared" ref="AY314" si="1456">AV314+AX314</f>
        <v>20000</v>
      </c>
      <c r="BB314" s="15">
        <f t="shared" ref="BB314" si="1457">AY314+BA314</f>
        <v>20000</v>
      </c>
      <c r="BD314" s="15">
        <v>7000</v>
      </c>
      <c r="BE314" s="15">
        <f t="shared" ref="BE314" si="1458">BB314+BD314</f>
        <v>27000</v>
      </c>
      <c r="BG314" s="15"/>
      <c r="BH314" s="15">
        <f t="shared" ref="BH314" si="1459">BE314+BG314</f>
        <v>27000</v>
      </c>
      <c r="BJ314" s="15">
        <v>22751</v>
      </c>
      <c r="BK314" s="235">
        <f t="shared" ref="BK314" si="1460">BJ314/BH314</f>
        <v>0.84262962962962962</v>
      </c>
      <c r="BM314" s="15">
        <v>23000</v>
      </c>
      <c r="BN314" s="235">
        <f t="shared" ref="BN314" si="1461">BM314/BJ314</f>
        <v>1.010944573864885</v>
      </c>
      <c r="BO314" s="235">
        <f t="shared" ref="BO314" si="1462">BM314/BH314</f>
        <v>0.85185185185185186</v>
      </c>
      <c r="BQ314" s="227">
        <v>-50</v>
      </c>
      <c r="BR314" s="15">
        <f t="shared" ref="BR314" si="1463">BM314+BQ314</f>
        <v>22950</v>
      </c>
      <c r="BU314" s="15">
        <f>BR314+BT314</f>
        <v>22950</v>
      </c>
      <c r="BX314" s="15">
        <f>BU314+BW314</f>
        <v>22950</v>
      </c>
      <c r="CA314" s="15">
        <f>BX314+BZ314</f>
        <v>22950</v>
      </c>
      <c r="CD314" s="15">
        <f>CA314+CC314</f>
        <v>22950</v>
      </c>
      <c r="CG314" s="15">
        <f>CD314+CF314</f>
        <v>22950</v>
      </c>
      <c r="CJ314" s="15">
        <f>CG314+CI314</f>
        <v>22950</v>
      </c>
      <c r="CM314" s="15">
        <f>CJ314+CL314</f>
        <v>22950</v>
      </c>
      <c r="CP314" s="15">
        <f>CM314+CO314</f>
        <v>22950</v>
      </c>
      <c r="CS314" s="15">
        <f>CP314+CR314</f>
        <v>22950</v>
      </c>
      <c r="CV314" s="15">
        <f>CS314+CU314</f>
        <v>22950</v>
      </c>
      <c r="CY314" s="15">
        <f>CV314+CX314</f>
        <v>22950</v>
      </c>
      <c r="DA314" s="15">
        <v>20265</v>
      </c>
      <c r="DC314" s="15">
        <v>20000</v>
      </c>
      <c r="DE314" s="15"/>
      <c r="DF314" s="15">
        <f t="shared" ref="DF314" si="1464">DC314+DE314</f>
        <v>20000</v>
      </c>
      <c r="DH314" s="15"/>
      <c r="DI314" s="15">
        <f t="shared" ref="DI314" si="1465">DF314+DH314</f>
        <v>20000</v>
      </c>
      <c r="DK314" s="15"/>
      <c r="DL314" s="15">
        <f t="shared" ref="DL314" si="1466">DI314+DK314</f>
        <v>20000</v>
      </c>
      <c r="DN314" s="15"/>
      <c r="DO314" s="15">
        <f t="shared" ref="DO314" si="1467">DL314+DN314</f>
        <v>20000</v>
      </c>
      <c r="DQ314" s="15"/>
      <c r="DR314" s="15">
        <f t="shared" ref="DR314" si="1468">DO314+DQ314</f>
        <v>20000</v>
      </c>
      <c r="DT314" s="227">
        <v>4100</v>
      </c>
      <c r="DU314" s="15">
        <f t="shared" ref="DU314" si="1469">DR314+DT314</f>
        <v>24100</v>
      </c>
      <c r="DW314" s="15"/>
      <c r="DX314" s="15">
        <f t="shared" ref="DX314" si="1470">DU314+DW314</f>
        <v>24100</v>
      </c>
      <c r="DZ314" s="15"/>
      <c r="EA314" s="15">
        <f t="shared" ref="EA314" si="1471">DX314+DZ314</f>
        <v>24100</v>
      </c>
      <c r="EC314" s="15"/>
      <c r="ED314" s="15">
        <f t="shared" ref="ED314" si="1472">EA314+EC314</f>
        <v>24100</v>
      </c>
      <c r="EF314" s="15"/>
      <c r="EG314" s="15">
        <f t="shared" ref="EG314" si="1473">ED314+EF314</f>
        <v>24100</v>
      </c>
      <c r="EI314" s="15">
        <v>4025</v>
      </c>
      <c r="EK314" s="15">
        <v>10000</v>
      </c>
      <c r="EM314" s="15"/>
      <c r="EN314" s="15">
        <f t="shared" ref="EN314:EN315" si="1474">EK314+EM314</f>
        <v>10000</v>
      </c>
      <c r="EP314" s="227">
        <v>700</v>
      </c>
      <c r="EQ314" s="15">
        <f t="shared" ref="EQ314:EQ315" si="1475">EN314+EP314</f>
        <v>10700</v>
      </c>
      <c r="ES314" s="227">
        <v>800</v>
      </c>
      <c r="ET314" s="15">
        <f t="shared" ref="ET314:ET315" si="1476">EQ314+ES314</f>
        <v>11500</v>
      </c>
      <c r="EW314" s="15">
        <f t="shared" ref="EW314:EW315" si="1477">ET314+EV314</f>
        <v>11500</v>
      </c>
      <c r="EZ314" s="15">
        <f t="shared" ref="EZ314:EZ315" si="1478">EW314+EY314</f>
        <v>11500</v>
      </c>
      <c r="FB314" s="227">
        <v>19000</v>
      </c>
      <c r="FC314" s="15">
        <f t="shared" ref="FC314:FC315" si="1479">EZ314+FB314</f>
        <v>30500</v>
      </c>
      <c r="FF314" s="15">
        <f t="shared" ref="FF314:FF315" si="1480">FC314+FE314</f>
        <v>30500</v>
      </c>
      <c r="FI314" s="15">
        <f t="shared" ref="FI314:FI315" si="1481">FF314+FH314</f>
        <v>30500</v>
      </c>
      <c r="FK314" s="227">
        <v>-676</v>
      </c>
      <c r="FL314" s="15">
        <f t="shared" ref="FL314:FL315" si="1482">FI314+FK314</f>
        <v>29824</v>
      </c>
      <c r="FO314" s="15">
        <f t="shared" ref="FO314:FO315" si="1483">FL314+FN314</f>
        <v>29824</v>
      </c>
      <c r="FR314" s="15">
        <v>29824</v>
      </c>
      <c r="FT314" s="15">
        <v>29824</v>
      </c>
      <c r="FV314" s="15">
        <v>30000</v>
      </c>
    </row>
    <row r="315" spans="1:179" outlineLevel="2">
      <c r="A315" s="1" t="s">
        <v>246</v>
      </c>
      <c r="B315" s="1" t="s">
        <v>249</v>
      </c>
      <c r="C315" s="4" t="s">
        <v>250</v>
      </c>
      <c r="D315" s="43">
        <v>0</v>
      </c>
      <c r="E315" s="34">
        <v>0</v>
      </c>
      <c r="F315" s="43">
        <v>38380</v>
      </c>
      <c r="G315" s="34">
        <v>100</v>
      </c>
      <c r="H315" s="46">
        <v>38380</v>
      </c>
      <c r="I315" s="15">
        <v>38380</v>
      </c>
      <c r="K315" t="s">
        <v>332</v>
      </c>
      <c r="L315" s="118">
        <v>40000</v>
      </c>
      <c r="M315" s="17">
        <f>L315/F315-1</f>
        <v>4.2209484106305428E-2</v>
      </c>
      <c r="N315" s="17">
        <f>L315/I315-1</f>
        <v>4.2209484106305428E-2</v>
      </c>
      <c r="Q315" s="118">
        <v>0</v>
      </c>
      <c r="R315" s="15">
        <v>0</v>
      </c>
      <c r="S315" s="118">
        <v>0</v>
      </c>
      <c r="T315" s="15">
        <f>S315-Q315</f>
        <v>0</v>
      </c>
      <c r="U315" s="16" t="e">
        <f>S315/Q315-1</f>
        <v>#DIV/0!</v>
      </c>
      <c r="Y315" s="118">
        <v>0</v>
      </c>
      <c r="AE315" s="118">
        <v>38600</v>
      </c>
      <c r="AF315" s="182">
        <f>AE315-AA315</f>
        <v>38600</v>
      </c>
      <c r="AH315" s="15">
        <v>38570</v>
      </c>
      <c r="AI315" s="17">
        <f t="shared" si="1448"/>
        <v>0.99922279792746116</v>
      </c>
      <c r="AX315" s="15"/>
      <c r="BD315" s="15"/>
      <c r="BG315" s="15"/>
      <c r="DE315" s="15"/>
      <c r="DH315" s="15"/>
      <c r="DK315" s="15"/>
      <c r="DN315" s="15"/>
      <c r="DQ315" s="15"/>
      <c r="DT315" s="15"/>
      <c r="DW315" s="15"/>
      <c r="DZ315" s="15"/>
      <c r="EC315" s="15"/>
      <c r="EF315" s="15"/>
      <c r="EK315" s="15"/>
      <c r="EM315" s="227">
        <v>63080</v>
      </c>
      <c r="EN315" s="15">
        <f t="shared" si="1474"/>
        <v>63080</v>
      </c>
      <c r="EP315" s="15"/>
      <c r="EQ315" s="15">
        <f t="shared" si="1475"/>
        <v>63080</v>
      </c>
      <c r="ES315" s="15"/>
      <c r="ET315" s="15">
        <f t="shared" si="1476"/>
        <v>63080</v>
      </c>
      <c r="EW315" s="15">
        <f t="shared" si="1477"/>
        <v>63080</v>
      </c>
      <c r="EZ315" s="15">
        <f t="shared" si="1478"/>
        <v>63080</v>
      </c>
      <c r="FC315" s="15">
        <f t="shared" si="1479"/>
        <v>63080</v>
      </c>
      <c r="FF315" s="15">
        <f t="shared" si="1480"/>
        <v>63080</v>
      </c>
      <c r="FI315" s="15">
        <f t="shared" si="1481"/>
        <v>63080</v>
      </c>
      <c r="FL315" s="15">
        <f t="shared" si="1482"/>
        <v>63080</v>
      </c>
      <c r="FO315" s="15">
        <f t="shared" si="1483"/>
        <v>63080</v>
      </c>
      <c r="FR315" s="15">
        <v>63080</v>
      </c>
      <c r="FT315" s="15">
        <v>63080</v>
      </c>
      <c r="FV315" s="15">
        <f>Rozpis_Příjmy!EK9</f>
        <v>64000</v>
      </c>
      <c r="FW315" s="235">
        <f t="shared" ref="FW315" si="1484">FV315/FT315</f>
        <v>1.014584654407102</v>
      </c>
    </row>
    <row r="316" spans="1:179" outlineLevel="2">
      <c r="A316" s="1" t="s">
        <v>246</v>
      </c>
      <c r="B316" s="4" t="s">
        <v>46</v>
      </c>
      <c r="C316" s="4" t="s">
        <v>251</v>
      </c>
      <c r="D316" s="43">
        <v>75000</v>
      </c>
      <c r="E316" s="34">
        <v>68.62</v>
      </c>
      <c r="F316" s="43">
        <v>113380</v>
      </c>
      <c r="G316" s="34">
        <v>45.39</v>
      </c>
      <c r="H316" s="46">
        <v>51464</v>
      </c>
      <c r="Y316" s="118"/>
      <c r="AF316" s="182"/>
      <c r="AH316" s="15"/>
      <c r="AX316" s="15"/>
      <c r="BD316" s="15"/>
      <c r="BG316" s="15"/>
      <c r="DE316" s="15"/>
      <c r="DH316" s="15"/>
      <c r="DK316" s="15"/>
      <c r="DN316" s="15"/>
      <c r="DQ316" s="15"/>
      <c r="DT316" s="15"/>
      <c r="DW316" s="15"/>
      <c r="DZ316" s="15"/>
      <c r="EC316" s="15"/>
      <c r="EF316" s="15"/>
      <c r="EK316" s="15"/>
      <c r="EM316" s="15"/>
      <c r="EP316" s="15"/>
      <c r="ES316" s="15"/>
    </row>
    <row r="317" spans="1:179" ht="14.25" customHeight="1" outlineLevel="2">
      <c r="A317" s="1" t="s">
        <v>252</v>
      </c>
      <c r="B317" s="4" t="s">
        <v>48</v>
      </c>
      <c r="C317" s="4" t="s">
        <v>251</v>
      </c>
      <c r="D317" s="43">
        <v>75000</v>
      </c>
      <c r="E317" s="34">
        <v>68.62</v>
      </c>
      <c r="F317" s="43">
        <v>113380</v>
      </c>
      <c r="G317" s="34">
        <v>45.39</v>
      </c>
      <c r="H317" s="46">
        <v>51464</v>
      </c>
      <c r="Y317" s="118"/>
      <c r="AF317" s="182"/>
      <c r="AH317" s="15"/>
      <c r="AX317" s="15"/>
      <c r="BD317" s="15"/>
      <c r="BG317" s="15"/>
      <c r="DE317" s="15"/>
      <c r="DH317" s="15"/>
      <c r="DK317" s="15"/>
      <c r="DN317" s="15"/>
      <c r="DQ317" s="15"/>
      <c r="DT317" s="15"/>
      <c r="DW317" s="15"/>
      <c r="DZ317" s="15"/>
      <c r="EC317" s="15"/>
      <c r="EF317" s="15"/>
      <c r="EK317" s="15"/>
      <c r="EM317" s="15"/>
      <c r="EP317" s="15"/>
      <c r="ES317" s="15"/>
    </row>
    <row r="318" spans="1:179" ht="15" customHeight="1" thickBot="1">
      <c r="A318" s="54" t="s">
        <v>252</v>
      </c>
      <c r="B318" s="55" t="s">
        <v>316</v>
      </c>
      <c r="C318" s="56" t="s">
        <v>356</v>
      </c>
      <c r="D318" s="57">
        <f>SUM(D314:D315)</f>
        <v>75000</v>
      </c>
      <c r="E318" s="58"/>
      <c r="F318" s="57">
        <f>SUM(F314:F315)</f>
        <v>113380</v>
      </c>
      <c r="G318" s="58"/>
      <c r="H318" s="57"/>
      <c r="I318" s="57">
        <f>SUM(I314:I315)</f>
        <v>51464</v>
      </c>
      <c r="J318" s="138" t="e">
        <f>I318/$I$332</f>
        <v>#REF!</v>
      </c>
      <c r="K318" s="60"/>
      <c r="L318" s="122">
        <f>SUM(L314:L315)</f>
        <v>60000</v>
      </c>
      <c r="M318" s="61">
        <f>L318/F318-1</f>
        <v>-0.47080613864879173</v>
      </c>
      <c r="N318" s="61">
        <f>L318/I318-1</f>
        <v>0.16586351624436491</v>
      </c>
      <c r="O318" s="17">
        <f>L318/$L$332</f>
        <v>1.3921113947491674E-2</v>
      </c>
      <c r="P318" s="17"/>
      <c r="Q318" s="122">
        <f>SUM(Q314:Q315)</f>
        <v>60000</v>
      </c>
      <c r="R318" s="122">
        <f>SUM(R314:R315)</f>
        <v>7570</v>
      </c>
      <c r="S318" s="122">
        <f>SUM(S314:S315)</f>
        <v>30000</v>
      </c>
      <c r="T318" s="122">
        <f>SUM(T314:T315)</f>
        <v>-30000</v>
      </c>
      <c r="U318" s="155">
        <f>S318/Q318-1</f>
        <v>-0.5</v>
      </c>
      <c r="Y318" s="122">
        <f>SUM(Y314:Y315)</f>
        <v>30000</v>
      </c>
      <c r="AA318" s="122">
        <f>SUM(AA314:AA315)</f>
        <v>20000</v>
      </c>
      <c r="AB318" s="122">
        <f>SUM(AB314:AB315)</f>
        <v>-10000</v>
      </c>
      <c r="AE318" s="122">
        <f>SUM(AE314:AE315)</f>
        <v>58600</v>
      </c>
      <c r="AF318" s="182"/>
      <c r="AH318" s="122">
        <f>SUM(AH314:AH315)</f>
        <v>52874</v>
      </c>
      <c r="AI318" s="17">
        <f t="shared" ref="AI318:AI319" si="1485">AH318/AE318</f>
        <v>0.90228668941979517</v>
      </c>
      <c r="AK318" s="122">
        <f>SUM(AK314:AK315)</f>
        <v>20000</v>
      </c>
      <c r="AL318" s="193">
        <f>AK318/L318</f>
        <v>0.33333333333333331</v>
      </c>
      <c r="AM318" s="17">
        <f>AK318/AE318</f>
        <v>0.34129692832764508</v>
      </c>
      <c r="AN318" s="17">
        <f>AK318/AH318</f>
        <v>0.37825774482732533</v>
      </c>
      <c r="AS318" s="122">
        <f>SUM(AS314:AS315)</f>
        <v>20000</v>
      </c>
      <c r="AU318" s="122">
        <f>SUM(AU314:AU315)</f>
        <v>0</v>
      </c>
      <c r="AV318" s="122">
        <f>SUM(AV314:AV315)</f>
        <v>20000</v>
      </c>
      <c r="AX318" s="122">
        <f>SUM(AX314:AX315)</f>
        <v>0</v>
      </c>
      <c r="AY318" s="122">
        <f>SUM(AY314:AY315)</f>
        <v>20000</v>
      </c>
      <c r="BA318" s="122">
        <f>SUM(BA314:BA315)</f>
        <v>0</v>
      </c>
      <c r="BB318" s="122">
        <f>SUM(BB314:BB315)</f>
        <v>20000</v>
      </c>
      <c r="BD318" s="122">
        <f>SUM(BD314:BD315)</f>
        <v>7000</v>
      </c>
      <c r="BE318" s="122">
        <f>SUM(BE314:BE315)</f>
        <v>27000</v>
      </c>
      <c r="BG318" s="122">
        <f>SUM(BG314:BG315)</f>
        <v>0</v>
      </c>
      <c r="BH318" s="122">
        <f>SUM(BH314:BH315)</f>
        <v>27000</v>
      </c>
      <c r="BJ318" s="122">
        <f>SUM(BJ314:BJ315)</f>
        <v>22751</v>
      </c>
      <c r="BK318" s="236">
        <f t="shared" ref="BK318" si="1486">BJ318/BH318</f>
        <v>0.84262962962962962</v>
      </c>
      <c r="BM318" s="122">
        <f>SUM(BM314:BM315)</f>
        <v>23000</v>
      </c>
      <c r="BN318" s="236">
        <f t="shared" ref="BN318" si="1487">BM318/BJ318</f>
        <v>1.010944573864885</v>
      </c>
      <c r="BO318" s="236">
        <f t="shared" ref="BO318" si="1488">BM318/BH318</f>
        <v>0.85185185185185186</v>
      </c>
      <c r="BQ318" s="122">
        <f>SUM(BQ314:BQ315)</f>
        <v>-50</v>
      </c>
      <c r="BR318" s="122">
        <f>SUM(BR314:BR315)</f>
        <v>22950</v>
      </c>
      <c r="BT318" s="122">
        <f>SUM(BT314:BT315)</f>
        <v>0</v>
      </c>
      <c r="BU318" s="122">
        <f>SUM(BU314:BU315)</f>
        <v>22950</v>
      </c>
      <c r="BW318" s="122">
        <f>SUM(BW314:BW315)</f>
        <v>0</v>
      </c>
      <c r="BX318" s="122">
        <f>SUM(BX314:BX315)</f>
        <v>22950</v>
      </c>
      <c r="BZ318" s="122">
        <f>SUM(BZ314:BZ315)</f>
        <v>0</v>
      </c>
      <c r="CA318" s="122">
        <f>SUM(CA314:CA315)</f>
        <v>22950</v>
      </c>
      <c r="CC318" s="122">
        <f>SUM(CC314:CC315)</f>
        <v>0</v>
      </c>
      <c r="CD318" s="122">
        <f>SUM(CD314:CD315)</f>
        <v>22950</v>
      </c>
      <c r="CF318" s="122">
        <f>SUM(CF314:CF315)</f>
        <v>0</v>
      </c>
      <c r="CG318" s="122">
        <f>SUM(CG314:CG315)</f>
        <v>22950</v>
      </c>
      <c r="CI318" s="122">
        <f>SUM(CI314:CI315)</f>
        <v>0</v>
      </c>
      <c r="CJ318" s="122">
        <f>SUM(CJ314:CJ315)</f>
        <v>22950</v>
      </c>
      <c r="CL318" s="319">
        <f>SUM(CL314:CL315)</f>
        <v>0</v>
      </c>
      <c r="CM318" s="122">
        <f>SUM(CM314:CM315)</f>
        <v>22950</v>
      </c>
      <c r="CO318" s="122">
        <f>SUM(CO314:CO315)</f>
        <v>0</v>
      </c>
      <c r="CP318" s="122">
        <f>SUM(CP314:CP315)</f>
        <v>22950</v>
      </c>
      <c r="CR318" s="122">
        <f>SUM(CR314:CR315)</f>
        <v>0</v>
      </c>
      <c r="CS318" s="122">
        <f>SUM(CS314:CS315)</f>
        <v>22950</v>
      </c>
      <c r="CU318" s="122">
        <f>SUM(CU314:CU315)</f>
        <v>0</v>
      </c>
      <c r="CV318" s="122">
        <f>SUM(CV314:CV315)</f>
        <v>22950</v>
      </c>
      <c r="CX318" s="122">
        <f>SUM(CX314:CX315)</f>
        <v>0</v>
      </c>
      <c r="CY318" s="122">
        <f>SUM(CY314:CY315)</f>
        <v>22950</v>
      </c>
      <c r="DA318" s="122">
        <f>SUM(DA314:DA315)</f>
        <v>20265</v>
      </c>
      <c r="DC318" s="122">
        <f>SUM(DC314:DC315)</f>
        <v>20000</v>
      </c>
      <c r="DE318" s="122">
        <f>SUM(DE314:DE315)</f>
        <v>0</v>
      </c>
      <c r="DF318" s="122">
        <f>SUM(DF314:DF315)</f>
        <v>20000</v>
      </c>
      <c r="DH318" s="122">
        <f>SUM(DH314:DH315)</f>
        <v>0</v>
      </c>
      <c r="DI318" s="122">
        <f>SUM(DI314:DI315)</f>
        <v>20000</v>
      </c>
      <c r="DK318" s="122">
        <f>SUM(DK314:DK315)</f>
        <v>0</v>
      </c>
      <c r="DL318" s="122">
        <f>SUM(DL314:DL315)</f>
        <v>20000</v>
      </c>
      <c r="DN318" s="122">
        <f>SUM(DN314:DN315)</f>
        <v>0</v>
      </c>
      <c r="DO318" s="122">
        <f>SUM(DO314:DO315)</f>
        <v>20000</v>
      </c>
      <c r="DQ318" s="122">
        <f>SUM(DQ314:DQ315)</f>
        <v>0</v>
      </c>
      <c r="DR318" s="122">
        <f>SUM(DR314:DR315)</f>
        <v>20000</v>
      </c>
      <c r="DT318" s="122">
        <f>SUM(DT314:DT315)</f>
        <v>4100</v>
      </c>
      <c r="DU318" s="122">
        <f>SUM(DU314:DU315)</f>
        <v>24100</v>
      </c>
      <c r="DW318" s="122">
        <f>SUM(DW314:DW315)</f>
        <v>0</v>
      </c>
      <c r="DX318" s="122">
        <f>SUM(DX314:DX315)</f>
        <v>24100</v>
      </c>
      <c r="DZ318" s="122">
        <f>SUM(DZ314:DZ315)</f>
        <v>0</v>
      </c>
      <c r="EA318" s="122">
        <f>SUM(EA314:EA315)</f>
        <v>24100</v>
      </c>
      <c r="EC318" s="122">
        <f>SUM(EC314:EC315)</f>
        <v>0</v>
      </c>
      <c r="ED318" s="122">
        <f>SUM(ED314:ED315)</f>
        <v>24100</v>
      </c>
      <c r="EF318" s="122">
        <f>SUM(EF314:EF315)</f>
        <v>0</v>
      </c>
      <c r="EG318" s="122">
        <f>SUM(EG314:EG315)</f>
        <v>24100</v>
      </c>
      <c r="EI318" s="122">
        <f>SUM(EI314:EI315)</f>
        <v>4025</v>
      </c>
      <c r="EK318" s="122">
        <f>SUM(EK314:EK315)</f>
        <v>10000</v>
      </c>
      <c r="EM318" s="122">
        <f>SUM(EM314:EM315)</f>
        <v>63080</v>
      </c>
      <c r="EN318" s="122">
        <f>SUM(EN314:EN315)</f>
        <v>73080</v>
      </c>
      <c r="EP318" s="122">
        <f>SUM(EP314:EP315)</f>
        <v>700</v>
      </c>
      <c r="EQ318" s="122">
        <f>SUM(EQ314:EQ315)</f>
        <v>73780</v>
      </c>
      <c r="ES318" s="122">
        <f>SUM(ES314:ES315)</f>
        <v>800</v>
      </c>
      <c r="ET318" s="122">
        <f>SUM(ET314:ET315)</f>
        <v>74580</v>
      </c>
      <c r="EV318" s="122">
        <f>SUM(EV314:EV315)</f>
        <v>0</v>
      </c>
      <c r="EW318" s="122">
        <f>SUM(EW314:EW315)</f>
        <v>74580</v>
      </c>
      <c r="EY318" s="122">
        <f>SUM(EY314:EY315)</f>
        <v>0</v>
      </c>
      <c r="EZ318" s="122">
        <f>SUM(EZ314:EZ315)</f>
        <v>74580</v>
      </c>
      <c r="FB318" s="122">
        <f>SUM(FB314:FB315)</f>
        <v>19000</v>
      </c>
      <c r="FC318" s="122">
        <f>SUM(FC314:FC315)</f>
        <v>93580</v>
      </c>
      <c r="FE318" s="122">
        <f>SUM(FE314:FE315)</f>
        <v>0</v>
      </c>
      <c r="FF318" s="122">
        <f>SUM(FF314:FF315)</f>
        <v>93580</v>
      </c>
      <c r="FH318" s="122">
        <f>SUM(FH314:FH315)</f>
        <v>0</v>
      </c>
      <c r="FI318" s="122">
        <f>SUM(FI314:FI315)</f>
        <v>93580</v>
      </c>
      <c r="FK318" s="122">
        <f>SUM(FK314:FK315)</f>
        <v>-676</v>
      </c>
      <c r="FL318" s="122">
        <f>SUM(FL314:FL315)</f>
        <v>92904</v>
      </c>
      <c r="FN318" s="122">
        <f>SUM(FN314:FN315)</f>
        <v>0</v>
      </c>
      <c r="FO318" s="122">
        <f>SUM(FO314:FO315)</f>
        <v>92904</v>
      </c>
      <c r="FQ318" s="122">
        <v>0</v>
      </c>
      <c r="FR318" s="122">
        <v>92904</v>
      </c>
      <c r="FT318" s="122">
        <f>SUM(FT314:FT315)</f>
        <v>92904</v>
      </c>
      <c r="FV318" s="122">
        <f>SUM(FV314:FV315)</f>
        <v>94000</v>
      </c>
      <c r="FW318" s="235">
        <f t="shared" ref="FW318:FW326" si="1489">FV318/FT318</f>
        <v>1.0117971239128563</v>
      </c>
    </row>
    <row r="319" spans="1:179" ht="15.75" outlineLevel="2" thickTop="1">
      <c r="A319" s="1" t="s">
        <v>253</v>
      </c>
      <c r="B319" s="1" t="s">
        <v>254</v>
      </c>
      <c r="C319" s="4" t="s">
        <v>255</v>
      </c>
      <c r="D319" s="43">
        <v>0</v>
      </c>
      <c r="E319" s="34">
        <v>0</v>
      </c>
      <c r="F319" s="43">
        <v>30126</v>
      </c>
      <c r="G319" s="34">
        <v>100</v>
      </c>
      <c r="H319" s="46">
        <v>30126</v>
      </c>
      <c r="I319" s="15">
        <v>30126</v>
      </c>
      <c r="L319" s="118">
        <v>0</v>
      </c>
      <c r="M319" s="17">
        <f>L319/F319-1</f>
        <v>-1</v>
      </c>
      <c r="N319" s="17">
        <f>L319/I319-1</f>
        <v>-1</v>
      </c>
      <c r="Q319" s="118">
        <v>15800</v>
      </c>
      <c r="R319" s="15">
        <v>15717</v>
      </c>
      <c r="S319" s="118">
        <v>15800</v>
      </c>
      <c r="T319" s="15">
        <f>S319-Q319</f>
        <v>0</v>
      </c>
      <c r="U319" s="16">
        <f>S319/Q319-1</f>
        <v>0</v>
      </c>
      <c r="V319" s="140">
        <v>15800</v>
      </c>
      <c r="W319" s="15">
        <f>V319-L329</f>
        <v>5600</v>
      </c>
      <c r="Y319" s="118">
        <v>15800</v>
      </c>
      <c r="AA319" s="118">
        <v>15800</v>
      </c>
      <c r="AB319" s="185">
        <f t="shared" ref="AB319" si="1490">AA319-Y319</f>
        <v>0</v>
      </c>
      <c r="AC319" s="187">
        <f t="shared" ref="AC319" si="1491">AA319-Y319</f>
        <v>0</v>
      </c>
      <c r="AD319" s="187"/>
      <c r="AE319" s="118">
        <v>15800</v>
      </c>
      <c r="AF319" s="182"/>
      <c r="AH319" s="15">
        <v>15717</v>
      </c>
      <c r="AI319" s="17">
        <f t="shared" si="1485"/>
        <v>0.99474683544303799</v>
      </c>
      <c r="AK319" s="118">
        <v>11000</v>
      </c>
      <c r="AP319" s="220">
        <v>11000</v>
      </c>
      <c r="AS319" s="15">
        <f>AR319+AK319</f>
        <v>11000</v>
      </c>
      <c r="AV319" s="15">
        <f t="shared" ref="AV319" si="1492">AS319+AU319</f>
        <v>11000</v>
      </c>
      <c r="AX319" s="15"/>
      <c r="AY319" s="15">
        <f t="shared" ref="AY319" si="1493">AV319+AX319</f>
        <v>11000</v>
      </c>
      <c r="BB319" s="15">
        <f t="shared" ref="BB319" si="1494">AY319+BA319</f>
        <v>11000</v>
      </c>
      <c r="BD319" s="15"/>
      <c r="BE319" s="15">
        <f t="shared" ref="BE319" si="1495">BB319+BD319</f>
        <v>11000</v>
      </c>
      <c r="BG319" s="15"/>
      <c r="BH319" s="15">
        <f t="shared" ref="BH319" si="1496">BE319+BG319</f>
        <v>11000</v>
      </c>
      <c r="BJ319" s="15">
        <v>10534</v>
      </c>
      <c r="BK319" s="235">
        <f t="shared" ref="BK319" si="1497">BJ319/BH319</f>
        <v>0.95763636363636362</v>
      </c>
      <c r="BM319" s="15">
        <v>14500</v>
      </c>
      <c r="BN319" s="235">
        <f t="shared" ref="BN319:BN326" si="1498">BM319/BJ319</f>
        <v>1.37649515853427</v>
      </c>
      <c r="BO319" s="235">
        <f t="shared" ref="BO319:BO326" si="1499">BM319/BH319</f>
        <v>1.3181818181818181</v>
      </c>
      <c r="BQ319" s="15"/>
      <c r="BR319" s="15">
        <f t="shared" ref="BR319" si="1500">BM319+BQ319</f>
        <v>14500</v>
      </c>
      <c r="BT319" s="15"/>
      <c r="BU319" s="15">
        <f>BR319+BT319</f>
        <v>14500</v>
      </c>
      <c r="BW319" s="15"/>
      <c r="BX319" s="15">
        <f>BU319+BW319</f>
        <v>14500</v>
      </c>
      <c r="BZ319" s="15"/>
      <c r="CA319" s="15">
        <f>BX319+BZ319</f>
        <v>14500</v>
      </c>
      <c r="CC319" s="15"/>
      <c r="CD319" s="15">
        <f>CA319+CC319</f>
        <v>14500</v>
      </c>
      <c r="CF319" s="15"/>
      <c r="CG319" s="15">
        <f>CD319+CF319</f>
        <v>14500</v>
      </c>
      <c r="CI319" s="15"/>
      <c r="CJ319" s="15">
        <f>CG319+CI319</f>
        <v>14500</v>
      </c>
      <c r="CM319" s="15">
        <f>CJ319+CL319</f>
        <v>14500</v>
      </c>
      <c r="CP319" s="15">
        <f>CM319+CO319</f>
        <v>14500</v>
      </c>
      <c r="CS319" s="15">
        <f>CP319+CR319</f>
        <v>14500</v>
      </c>
      <c r="CV319" s="15">
        <f>CS319+CU319</f>
        <v>14500</v>
      </c>
      <c r="CY319" s="15">
        <f>CV319+CX319</f>
        <v>14500</v>
      </c>
      <c r="DA319" s="15">
        <v>14424</v>
      </c>
      <c r="DC319" s="15">
        <v>30000</v>
      </c>
      <c r="DE319" s="227">
        <v>200</v>
      </c>
      <c r="DF319" s="15">
        <f t="shared" ref="DF319" si="1501">DC319+DE319</f>
        <v>30200</v>
      </c>
      <c r="DH319" s="15"/>
      <c r="DI319" s="15">
        <f t="shared" ref="DI319" si="1502">DF319+DH319</f>
        <v>30200</v>
      </c>
      <c r="DK319" s="15"/>
      <c r="DL319" s="15">
        <f t="shared" ref="DL319" si="1503">DI319+DK319</f>
        <v>30200</v>
      </c>
      <c r="DN319" s="15"/>
      <c r="DO319" s="15">
        <f t="shared" ref="DO319" si="1504">DL319+DN319</f>
        <v>30200</v>
      </c>
      <c r="DQ319" s="15"/>
      <c r="DR319" s="15">
        <f t="shared" ref="DR319" si="1505">DO319+DQ319</f>
        <v>30200</v>
      </c>
      <c r="DT319" s="15"/>
      <c r="DU319" s="15">
        <f t="shared" ref="DU319" si="1506">DR319+DT319</f>
        <v>30200</v>
      </c>
      <c r="DW319" s="15"/>
      <c r="DX319" s="15">
        <f t="shared" ref="DX319" si="1507">DU319+DW319</f>
        <v>30200</v>
      </c>
      <c r="DZ319" s="227">
        <v>480</v>
      </c>
      <c r="EA319" s="15">
        <f t="shared" ref="EA319" si="1508">DX319+DZ319</f>
        <v>30680</v>
      </c>
      <c r="EC319" s="15"/>
      <c r="ED319" s="15">
        <f t="shared" ref="ED319" si="1509">EA319+EC319</f>
        <v>30680</v>
      </c>
      <c r="EF319" s="227">
        <f>30138-30680</f>
        <v>-542</v>
      </c>
      <c r="EG319" s="15">
        <f t="shared" ref="EG319" si="1510">ED319+EF319</f>
        <v>30138</v>
      </c>
      <c r="EI319" s="15">
        <v>30138</v>
      </c>
      <c r="EK319" s="15">
        <v>21242</v>
      </c>
      <c r="EM319" s="15"/>
      <c r="EN319" s="15">
        <f t="shared" ref="EN319" si="1511">EK319+EM319</f>
        <v>21242</v>
      </c>
      <c r="EP319" s="15"/>
      <c r="EQ319" s="15">
        <f t="shared" ref="EQ319" si="1512">EN319+EP319</f>
        <v>21242</v>
      </c>
      <c r="ES319" s="15"/>
      <c r="ET319" s="15">
        <f t="shared" ref="ET319" si="1513">EQ319+ES319</f>
        <v>21242</v>
      </c>
      <c r="EW319" s="15">
        <f t="shared" ref="EW319" si="1514">ET319+EV319</f>
        <v>21242</v>
      </c>
      <c r="EZ319" s="15">
        <f t="shared" ref="EZ319" si="1515">EW319+EY319</f>
        <v>21242</v>
      </c>
      <c r="FC319" s="15">
        <f t="shared" ref="FC319" si="1516">EZ319+FB319</f>
        <v>21242</v>
      </c>
      <c r="FF319" s="15">
        <f t="shared" ref="FF319" si="1517">FC319+FE319</f>
        <v>21242</v>
      </c>
      <c r="FI319" s="15">
        <f t="shared" ref="FI319" si="1518">FF319+FH319</f>
        <v>21242</v>
      </c>
      <c r="FL319" s="15">
        <f t="shared" ref="FL319" si="1519">FI319+FK319</f>
        <v>21242</v>
      </c>
      <c r="FO319" s="15">
        <f t="shared" ref="FO319" si="1520">FL319+FN319</f>
        <v>21242</v>
      </c>
      <c r="FR319" s="15">
        <v>21242</v>
      </c>
      <c r="FT319" s="15">
        <v>21242</v>
      </c>
      <c r="FV319" s="15">
        <f>12116+19349</f>
        <v>31465</v>
      </c>
      <c r="FW319" s="235">
        <f t="shared" si="1489"/>
        <v>1.4812635345071086</v>
      </c>
    </row>
    <row r="320" spans="1:179" outlineLevel="2">
      <c r="A320" s="1" t="s">
        <v>253</v>
      </c>
      <c r="B320" s="4" t="s">
        <v>46</v>
      </c>
      <c r="C320" s="4" t="s">
        <v>256</v>
      </c>
      <c r="D320" s="43">
        <v>0</v>
      </c>
      <c r="E320" s="34">
        <v>0</v>
      </c>
      <c r="F320" s="43">
        <v>30126</v>
      </c>
      <c r="G320" s="34">
        <v>100</v>
      </c>
      <c r="H320" s="46">
        <v>30126</v>
      </c>
      <c r="Y320" s="118"/>
      <c r="AF320" s="182"/>
      <c r="AH320" s="15"/>
      <c r="AX320" s="15"/>
      <c r="BD320" s="15"/>
      <c r="BG320" s="15"/>
      <c r="BN320" s="235" t="e">
        <f t="shared" si="1498"/>
        <v>#DIV/0!</v>
      </c>
      <c r="BO320" s="235" t="e">
        <f t="shared" si="1499"/>
        <v>#DIV/0!</v>
      </c>
      <c r="DE320" s="15"/>
      <c r="DH320" s="15"/>
      <c r="DK320" s="15"/>
      <c r="DN320" s="15"/>
      <c r="DQ320" s="15"/>
      <c r="DT320" s="15"/>
      <c r="DW320" s="15"/>
      <c r="DZ320" s="15"/>
      <c r="EC320" s="15"/>
      <c r="EF320" s="15"/>
      <c r="EK320" s="15"/>
      <c r="EL320" t="s">
        <v>457</v>
      </c>
      <c r="EM320" s="15"/>
      <c r="EP320" s="15"/>
      <c r="ES320" s="15"/>
      <c r="FW320" s="235" t="e">
        <f t="shared" si="1489"/>
        <v>#DIV/0!</v>
      </c>
    </row>
    <row r="321" spans="1:179" outlineLevel="2">
      <c r="A321" s="1" t="s">
        <v>253</v>
      </c>
      <c r="B321" s="1" t="s">
        <v>422</v>
      </c>
      <c r="C321" s="4" t="s">
        <v>423</v>
      </c>
      <c r="D321" s="43"/>
      <c r="E321" s="34"/>
      <c r="F321" s="43"/>
      <c r="G321" s="34"/>
      <c r="H321" s="46"/>
      <c r="Y321" s="118"/>
      <c r="AF321" s="182"/>
      <c r="AH321" s="15"/>
      <c r="AX321" s="15"/>
      <c r="BD321" s="15"/>
      <c r="BG321" s="15"/>
      <c r="BN321" s="235"/>
      <c r="BO321" s="235"/>
      <c r="CF321">
        <v>10</v>
      </c>
      <c r="CG321" s="15">
        <f>CD321+CF321</f>
        <v>10</v>
      </c>
      <c r="CJ321" s="15">
        <f>CG321+CI321</f>
        <v>10</v>
      </c>
      <c r="CM321" s="15">
        <f>CJ321+CL321</f>
        <v>10</v>
      </c>
      <c r="CP321" s="15">
        <f>CM321+CO321</f>
        <v>10</v>
      </c>
      <c r="CS321" s="15">
        <f>CP321+CR321</f>
        <v>10</v>
      </c>
      <c r="CV321" s="15">
        <f>CS321+CU321</f>
        <v>10</v>
      </c>
      <c r="CY321" s="15">
        <f>CV321+CX321</f>
        <v>10</v>
      </c>
      <c r="DA321" s="15">
        <v>6</v>
      </c>
      <c r="DE321" s="15"/>
      <c r="DH321" s="15"/>
      <c r="DK321" s="15"/>
      <c r="DN321" s="15"/>
      <c r="DQ321" s="15"/>
      <c r="DT321" s="15"/>
      <c r="DW321" s="15"/>
      <c r="DZ321" s="15"/>
      <c r="EC321" s="15"/>
      <c r="EF321" s="15"/>
      <c r="EK321" s="15"/>
      <c r="EM321" s="15"/>
      <c r="EP321" s="15"/>
      <c r="ES321" s="15"/>
      <c r="FW321" s="235" t="e">
        <f t="shared" si="1489"/>
        <v>#DIV/0!</v>
      </c>
    </row>
    <row r="322" spans="1:179" outlineLevel="2">
      <c r="A322" s="1" t="s">
        <v>99</v>
      </c>
      <c r="B322" s="1" t="s">
        <v>115</v>
      </c>
      <c r="C322" s="4" t="s">
        <v>116</v>
      </c>
      <c r="D322" s="43"/>
      <c r="E322" s="34"/>
      <c r="F322" s="43"/>
      <c r="G322" s="34"/>
      <c r="H322" s="46"/>
      <c r="Y322" s="118"/>
      <c r="AF322" s="182"/>
      <c r="AH322" s="15"/>
      <c r="AX322" s="15"/>
      <c r="BD322" s="15"/>
      <c r="BG322" s="15"/>
      <c r="BN322" s="235"/>
      <c r="BO322" s="235"/>
      <c r="BQ322">
        <v>5000</v>
      </c>
      <c r="BR322" s="15">
        <f t="shared" ref="BR322:BR326" si="1521">BM322+BQ322</f>
        <v>5000</v>
      </c>
      <c r="BU322" s="15">
        <f>BR322+BT322</f>
        <v>5000</v>
      </c>
      <c r="BX322" s="15">
        <f>BU322+BW322</f>
        <v>5000</v>
      </c>
      <c r="CA322" s="15">
        <f>BX322+BZ322</f>
        <v>5000</v>
      </c>
      <c r="CD322" s="15">
        <f>CA322+CC322</f>
        <v>5000</v>
      </c>
      <c r="CG322" s="15">
        <f>CD322+CF322</f>
        <v>5000</v>
      </c>
      <c r="CJ322" s="15">
        <f>CG322+CI322</f>
        <v>5000</v>
      </c>
      <c r="CM322" s="15">
        <f>CJ322+CL322</f>
        <v>5000</v>
      </c>
      <c r="CO322" s="15">
        <v>-2000</v>
      </c>
      <c r="CP322" s="15">
        <f>CM322+CO322</f>
        <v>3000</v>
      </c>
      <c r="CS322" s="15">
        <f>CP322+CR322</f>
        <v>3000</v>
      </c>
      <c r="CV322" s="15">
        <f>CS322+CU322</f>
        <v>3000</v>
      </c>
      <c r="CY322" s="15">
        <f>CV322+CX322</f>
        <v>3000</v>
      </c>
      <c r="DA322" s="15">
        <v>2100</v>
      </c>
      <c r="DC322" s="15">
        <v>2500</v>
      </c>
      <c r="DE322" s="227">
        <v>-200</v>
      </c>
      <c r="DF322" s="15">
        <f t="shared" ref="DF322:DF326" si="1522">DC322+DE322</f>
        <v>2300</v>
      </c>
      <c r="DH322" s="15"/>
      <c r="DI322" s="15">
        <f t="shared" ref="DI322:DI326" si="1523">DF322+DH322</f>
        <v>2300</v>
      </c>
      <c r="DK322" s="15"/>
      <c r="DL322" s="15">
        <f t="shared" ref="DL322:DL326" si="1524">DI322+DK322</f>
        <v>2300</v>
      </c>
      <c r="DN322" s="15"/>
      <c r="DO322" s="15">
        <f t="shared" ref="DO322:DO326" si="1525">DL322+DN322</f>
        <v>2300</v>
      </c>
      <c r="DQ322" s="15"/>
      <c r="DR322" s="15">
        <f t="shared" ref="DR322:DR326" si="1526">DO322+DQ322</f>
        <v>2300</v>
      </c>
      <c r="DT322" s="15"/>
      <c r="DU322" s="15">
        <f t="shared" ref="DU322:DU326" si="1527">DR322+DT322</f>
        <v>2300</v>
      </c>
      <c r="DW322" s="15"/>
      <c r="DX322" s="15">
        <f t="shared" ref="DX322:DX326" si="1528">DU322+DW322</f>
        <v>2300</v>
      </c>
      <c r="DZ322" s="15"/>
      <c r="EA322" s="15">
        <f t="shared" ref="EA322:EA326" si="1529">DX322+DZ322</f>
        <v>2300</v>
      </c>
      <c r="EC322" s="15"/>
      <c r="ED322" s="15">
        <f t="shared" ref="ED322:ED326" si="1530">EA322+EC322</f>
        <v>2300</v>
      </c>
      <c r="EF322" s="15"/>
      <c r="EG322" s="15">
        <f t="shared" ref="EG322:EG326" si="1531">ED322+EF322</f>
        <v>2300</v>
      </c>
      <c r="EI322" s="15">
        <v>2050</v>
      </c>
      <c r="EK322" s="15">
        <v>0</v>
      </c>
      <c r="EM322" s="15"/>
      <c r="EN322" s="15">
        <f t="shared" ref="EN322:EN326" si="1532">EK322+EM322</f>
        <v>0</v>
      </c>
      <c r="EP322" s="15"/>
      <c r="EQ322" s="15">
        <f t="shared" ref="EQ322:EQ324" si="1533">EN322+EP322</f>
        <v>0</v>
      </c>
      <c r="ES322" s="15"/>
      <c r="ET322" s="15">
        <f t="shared" ref="ET322:ET324" si="1534">EQ322+ES322</f>
        <v>0</v>
      </c>
      <c r="EW322" s="15">
        <f t="shared" ref="EW322:EW324" si="1535">ET322+EV322</f>
        <v>0</v>
      </c>
      <c r="EZ322" s="15">
        <f t="shared" ref="EZ322:EZ324" si="1536">EW322+EY322</f>
        <v>0</v>
      </c>
      <c r="FC322" s="15">
        <f t="shared" ref="FC322:FC324" si="1537">EZ322+FB322</f>
        <v>0</v>
      </c>
      <c r="FF322" s="15">
        <f t="shared" ref="FF322:FF324" si="1538">FC322+FE322</f>
        <v>0</v>
      </c>
      <c r="FI322" s="15">
        <f t="shared" ref="FI322:FI324" si="1539">FF322+FH322</f>
        <v>0</v>
      </c>
      <c r="FL322" s="15">
        <f t="shared" ref="FL322:FL324" si="1540">FI322+FK322</f>
        <v>0</v>
      </c>
      <c r="FO322" s="15">
        <f t="shared" ref="FO322:FO324" si="1541">FL322+FN322</f>
        <v>0</v>
      </c>
      <c r="FR322" s="15">
        <v>0</v>
      </c>
      <c r="FW322" s="235" t="e">
        <f t="shared" si="1489"/>
        <v>#DIV/0!</v>
      </c>
    </row>
    <row r="323" spans="1:179" outlineLevel="2">
      <c r="A323" s="1" t="s">
        <v>99</v>
      </c>
      <c r="B323" s="1" t="s">
        <v>107</v>
      </c>
      <c r="C323" s="4" t="s">
        <v>108</v>
      </c>
      <c r="D323" s="36"/>
      <c r="E323" s="51"/>
      <c r="F323" s="36"/>
      <c r="G323" s="51"/>
      <c r="H323" s="36"/>
      <c r="Y323" s="118"/>
      <c r="AF323" s="182"/>
      <c r="AH323" s="15"/>
      <c r="AX323" s="15"/>
      <c r="BD323" s="15"/>
      <c r="BG323" s="15"/>
      <c r="BN323" s="235"/>
      <c r="BO323" s="235"/>
      <c r="BR323" s="15"/>
      <c r="BU323" s="15"/>
      <c r="BX323" s="15"/>
      <c r="CA323" s="15"/>
      <c r="CD323" s="15"/>
      <c r="CG323" s="15"/>
      <c r="CJ323" s="15"/>
      <c r="CM323" s="15"/>
      <c r="CP323" s="15"/>
      <c r="CS323" s="15"/>
      <c r="CV323" s="15"/>
      <c r="CY323" s="15"/>
      <c r="DE323" s="227"/>
      <c r="DF323" s="15"/>
      <c r="DH323" s="15"/>
      <c r="DI323" s="15"/>
      <c r="DK323" s="15"/>
      <c r="DL323" s="15"/>
      <c r="DN323" s="227">
        <v>3600</v>
      </c>
      <c r="DO323" s="15">
        <f t="shared" si="1525"/>
        <v>3600</v>
      </c>
      <c r="DQ323" s="15"/>
      <c r="DR323" s="15">
        <f t="shared" si="1526"/>
        <v>3600</v>
      </c>
      <c r="DT323" s="15"/>
      <c r="DU323" s="15">
        <f t="shared" si="1527"/>
        <v>3600</v>
      </c>
      <c r="DW323" s="15"/>
      <c r="DX323" s="15">
        <f t="shared" si="1528"/>
        <v>3600</v>
      </c>
      <c r="DZ323" s="15"/>
      <c r="EA323" s="15">
        <f t="shared" si="1529"/>
        <v>3600</v>
      </c>
      <c r="EC323" s="227">
        <v>-140</v>
      </c>
      <c r="ED323" s="15">
        <f t="shared" si="1530"/>
        <v>3460</v>
      </c>
      <c r="EF323" s="15"/>
      <c r="EG323" s="15">
        <f t="shared" si="1531"/>
        <v>3460</v>
      </c>
      <c r="EI323" s="15">
        <v>3460</v>
      </c>
      <c r="EK323" s="15">
        <v>3460</v>
      </c>
      <c r="EM323" s="15"/>
      <c r="EN323" s="15">
        <f t="shared" si="1532"/>
        <v>3460</v>
      </c>
      <c r="EP323" s="15"/>
      <c r="EQ323" s="15">
        <f t="shared" si="1533"/>
        <v>3460</v>
      </c>
      <c r="ES323" s="15"/>
      <c r="ET323" s="15">
        <f t="shared" si="1534"/>
        <v>3460</v>
      </c>
      <c r="EW323" s="15">
        <f t="shared" si="1535"/>
        <v>3460</v>
      </c>
      <c r="EZ323" s="15">
        <f t="shared" si="1536"/>
        <v>3460</v>
      </c>
      <c r="FC323" s="15">
        <f t="shared" si="1537"/>
        <v>3460</v>
      </c>
      <c r="FF323" s="15">
        <f t="shared" si="1538"/>
        <v>3460</v>
      </c>
      <c r="FI323" s="15">
        <f t="shared" si="1539"/>
        <v>3460</v>
      </c>
      <c r="FK323" s="227">
        <v>-130</v>
      </c>
      <c r="FL323" s="15">
        <f t="shared" si="1540"/>
        <v>3330</v>
      </c>
      <c r="FO323" s="15">
        <f t="shared" si="1541"/>
        <v>3330</v>
      </c>
      <c r="FR323" s="15">
        <v>3330</v>
      </c>
      <c r="FT323" s="15">
        <v>3330</v>
      </c>
      <c r="FV323" s="15">
        <v>3520</v>
      </c>
      <c r="FW323" s="235">
        <f t="shared" si="1489"/>
        <v>1.057057057057057</v>
      </c>
    </row>
    <row r="324" spans="1:179" outlineLevel="2">
      <c r="A324" s="1" t="s">
        <v>99</v>
      </c>
      <c r="B324" s="1" t="s">
        <v>257</v>
      </c>
      <c r="C324" s="4" t="s">
        <v>258</v>
      </c>
      <c r="D324" s="43">
        <v>10000</v>
      </c>
      <c r="E324" s="34">
        <v>65.69</v>
      </c>
      <c r="F324" s="43">
        <v>6569</v>
      </c>
      <c r="G324" s="34">
        <v>100</v>
      </c>
      <c r="H324" s="46">
        <v>6569</v>
      </c>
      <c r="I324" s="15">
        <v>6569</v>
      </c>
      <c r="K324" t="s">
        <v>332</v>
      </c>
      <c r="L324" s="118">
        <v>6700</v>
      </c>
      <c r="M324" s="17">
        <f>L324/F324-1</f>
        <v>1.9942152534632385E-2</v>
      </c>
      <c r="N324" s="17">
        <f>L324/I324-1</f>
        <v>1.9942152534632385E-2</v>
      </c>
      <c r="Q324" s="118">
        <v>6720</v>
      </c>
      <c r="R324" s="15">
        <v>6678</v>
      </c>
      <c r="S324" s="118">
        <v>6720</v>
      </c>
      <c r="T324" s="15">
        <f>S324-Q324</f>
        <v>0</v>
      </c>
      <c r="U324" s="16">
        <f>S324/Q324-1</f>
        <v>0</v>
      </c>
      <c r="V324" s="140">
        <v>3300</v>
      </c>
      <c r="W324">
        <v>3300</v>
      </c>
      <c r="Y324" s="118">
        <v>6720</v>
      </c>
      <c r="AA324" s="118">
        <v>6720</v>
      </c>
      <c r="AB324" s="185">
        <f t="shared" ref="AB324:AB325" si="1542">AA324-Y324</f>
        <v>0</v>
      </c>
      <c r="AC324" s="187">
        <f t="shared" ref="AC324:AC325" si="1543">AA324-Y324</f>
        <v>0</v>
      </c>
      <c r="AD324" s="187"/>
      <c r="AE324" s="118">
        <v>6720</v>
      </c>
      <c r="AF324" s="182"/>
      <c r="AH324" s="15">
        <v>6678.76</v>
      </c>
      <c r="AI324" s="17">
        <f t="shared" ref="AI324:AI325" si="1544">AH324/AE324</f>
        <v>0.99386309523809524</v>
      </c>
      <c r="AK324" s="118">
        <v>6800</v>
      </c>
      <c r="AS324" s="15">
        <f t="shared" ref="AS324:AS325" si="1545">AR324+AK324</f>
        <v>6800</v>
      </c>
      <c r="AV324" s="15">
        <f t="shared" ref="AV324:AV325" si="1546">AS324+AU324</f>
        <v>6800</v>
      </c>
      <c r="AX324" s="15"/>
      <c r="AY324" s="15">
        <f t="shared" ref="AY324:AY325" si="1547">AV324+AX324</f>
        <v>6800</v>
      </c>
      <c r="BB324" s="15">
        <f t="shared" ref="BB324:BB325" si="1548">AY324+BA324</f>
        <v>6800</v>
      </c>
      <c r="BD324" s="15"/>
      <c r="BE324" s="15">
        <f t="shared" ref="BE324:BE325" si="1549">BB324+BD324</f>
        <v>6800</v>
      </c>
      <c r="BG324" s="15"/>
      <c r="BH324" s="15">
        <f t="shared" ref="BH324:BH326" si="1550">BE324+BG324</f>
        <v>6800</v>
      </c>
      <c r="BJ324" s="15">
        <v>6690.08</v>
      </c>
      <c r="BK324" s="235">
        <f t="shared" ref="BK324:BK326" si="1551">BJ324/BH324</f>
        <v>0.98383529411764703</v>
      </c>
      <c r="BM324" s="15">
        <v>6700</v>
      </c>
      <c r="BN324" s="235">
        <f t="shared" si="1498"/>
        <v>1.0014827924329754</v>
      </c>
      <c r="BO324" s="235">
        <f t="shared" si="1499"/>
        <v>0.98529411764705888</v>
      </c>
      <c r="BQ324" s="227">
        <v>50</v>
      </c>
      <c r="BR324" s="15">
        <f t="shared" si="1521"/>
        <v>6750</v>
      </c>
      <c r="BU324" s="15">
        <f>BR324+BT324</f>
        <v>6750</v>
      </c>
      <c r="BX324" s="15">
        <f>BU324+BW324</f>
        <v>6750</v>
      </c>
      <c r="CA324" s="15">
        <f>BX324+BZ324</f>
        <v>6750</v>
      </c>
      <c r="CD324" s="15">
        <f>CA324+CC324</f>
        <v>6750</v>
      </c>
      <c r="CG324" s="15">
        <f>CD324+CF324</f>
        <v>6750</v>
      </c>
      <c r="CJ324" s="15">
        <f>CG324+CI324</f>
        <v>6750</v>
      </c>
      <c r="CM324" s="15">
        <f>CJ324+CL324</f>
        <v>6750</v>
      </c>
      <c r="CP324" s="15">
        <f>CM324+CO324</f>
        <v>6750</v>
      </c>
      <c r="CS324" s="15">
        <f>CP324+CR324</f>
        <v>6750</v>
      </c>
      <c r="CV324" s="15">
        <f>CS324+CU324</f>
        <v>6750</v>
      </c>
      <c r="CY324" s="15">
        <f>CV324+CX324</f>
        <v>6750</v>
      </c>
      <c r="DA324" s="15">
        <v>6735.72</v>
      </c>
      <c r="DC324" s="15">
        <v>6750</v>
      </c>
      <c r="DE324" s="15"/>
      <c r="DF324" s="15">
        <f t="shared" si="1522"/>
        <v>6750</v>
      </c>
      <c r="DH324" s="15"/>
      <c r="DI324" s="15">
        <f t="shared" si="1523"/>
        <v>6750</v>
      </c>
      <c r="DK324" s="15"/>
      <c r="DL324" s="15">
        <f t="shared" si="1524"/>
        <v>6750</v>
      </c>
      <c r="DN324" s="15"/>
      <c r="DO324" s="15">
        <f t="shared" si="1525"/>
        <v>6750</v>
      </c>
      <c r="DQ324" s="15"/>
      <c r="DR324" s="15">
        <f t="shared" si="1526"/>
        <v>6750</v>
      </c>
      <c r="DT324" s="15"/>
      <c r="DU324" s="15">
        <f t="shared" si="1527"/>
        <v>6750</v>
      </c>
      <c r="DW324" s="15"/>
      <c r="DX324" s="15">
        <f t="shared" si="1528"/>
        <v>6750</v>
      </c>
      <c r="DZ324" s="15"/>
      <c r="EA324" s="15">
        <f t="shared" si="1529"/>
        <v>6750</v>
      </c>
      <c r="EC324" s="15"/>
      <c r="ED324" s="15">
        <f t="shared" si="1530"/>
        <v>6750</v>
      </c>
      <c r="EF324" s="15"/>
      <c r="EG324" s="15">
        <f t="shared" si="1531"/>
        <v>6750</v>
      </c>
      <c r="EI324" s="15">
        <v>3301.6</v>
      </c>
      <c r="EK324" s="15">
        <v>3400</v>
      </c>
      <c r="EM324" s="15"/>
      <c r="EN324" s="15">
        <f t="shared" si="1532"/>
        <v>3400</v>
      </c>
      <c r="EP324" s="15"/>
      <c r="EQ324" s="15">
        <f t="shared" si="1533"/>
        <v>3400</v>
      </c>
      <c r="ES324" s="15"/>
      <c r="ET324" s="15">
        <f t="shared" si="1534"/>
        <v>3400</v>
      </c>
      <c r="EW324" s="15">
        <f t="shared" si="1535"/>
        <v>3400</v>
      </c>
      <c r="EZ324" s="15">
        <f t="shared" si="1536"/>
        <v>3400</v>
      </c>
      <c r="FC324" s="15">
        <f t="shared" si="1537"/>
        <v>3400</v>
      </c>
      <c r="FF324" s="15">
        <f t="shared" si="1538"/>
        <v>3400</v>
      </c>
      <c r="FI324" s="15">
        <f t="shared" si="1539"/>
        <v>3400</v>
      </c>
      <c r="FK324" s="227">
        <v>-101</v>
      </c>
      <c r="FL324" s="15">
        <f t="shared" si="1540"/>
        <v>3299</v>
      </c>
      <c r="FO324" s="15">
        <f t="shared" si="1541"/>
        <v>3299</v>
      </c>
      <c r="FR324" s="15">
        <v>3299</v>
      </c>
      <c r="FT324" s="15">
        <v>3298.9</v>
      </c>
      <c r="FV324" s="15">
        <v>3300</v>
      </c>
      <c r="FW324" s="235">
        <f t="shared" si="1489"/>
        <v>1.0003334444814937</v>
      </c>
    </row>
    <row r="325" spans="1:179" outlineLevel="2">
      <c r="A325" s="1" t="s">
        <v>99</v>
      </c>
      <c r="B325" s="1" t="s">
        <v>129</v>
      </c>
      <c r="C325" s="4" t="s">
        <v>130</v>
      </c>
      <c r="D325" s="43">
        <v>0</v>
      </c>
      <c r="E325" s="34">
        <v>0</v>
      </c>
      <c r="F325" s="43">
        <v>3480</v>
      </c>
      <c r="G325" s="34">
        <v>100</v>
      </c>
      <c r="H325" s="46">
        <v>3480</v>
      </c>
      <c r="I325" s="15">
        <v>3480</v>
      </c>
      <c r="K325" t="s">
        <v>332</v>
      </c>
      <c r="L325" s="118">
        <v>3500</v>
      </c>
      <c r="M325" s="17">
        <f>L325/F325-1</f>
        <v>5.7471264367816577E-3</v>
      </c>
      <c r="N325" s="17">
        <f>L325/I325-1</f>
        <v>5.7471264367816577E-3</v>
      </c>
      <c r="Q325" s="118">
        <v>3590</v>
      </c>
      <c r="R325" s="15">
        <v>3590</v>
      </c>
      <c r="S325" s="118">
        <v>3590</v>
      </c>
      <c r="T325" s="15">
        <f>S325-Q325</f>
        <v>0</v>
      </c>
      <c r="U325" s="16">
        <f>S325/Q325-1</f>
        <v>0</v>
      </c>
      <c r="V325" s="140">
        <v>0</v>
      </c>
      <c r="Y325" s="118">
        <v>3590</v>
      </c>
      <c r="AA325" s="118">
        <v>3590</v>
      </c>
      <c r="AB325" s="185">
        <f t="shared" si="1542"/>
        <v>0</v>
      </c>
      <c r="AC325" s="187">
        <f t="shared" si="1543"/>
        <v>0</v>
      </c>
      <c r="AD325" s="187"/>
      <c r="AE325" s="118">
        <v>3590</v>
      </c>
      <c r="AF325" s="182"/>
      <c r="AH325" s="15">
        <v>3590</v>
      </c>
      <c r="AI325" s="17">
        <f t="shared" si="1544"/>
        <v>1</v>
      </c>
      <c r="AK325" s="118">
        <v>3600</v>
      </c>
      <c r="AS325" s="15">
        <f t="shared" si="1545"/>
        <v>3600</v>
      </c>
      <c r="AV325" s="15">
        <f t="shared" si="1546"/>
        <v>3600</v>
      </c>
      <c r="AX325" s="15"/>
      <c r="AY325" s="15">
        <f t="shared" si="1547"/>
        <v>3600</v>
      </c>
      <c r="BB325" s="15">
        <f t="shared" si="1548"/>
        <v>3600</v>
      </c>
      <c r="BD325" s="15"/>
      <c r="BE325" s="15">
        <f t="shared" si="1549"/>
        <v>3600</v>
      </c>
      <c r="BG325" s="15"/>
      <c r="BH325" s="15">
        <f t="shared" si="1550"/>
        <v>3600</v>
      </c>
      <c r="BJ325" s="15">
        <v>3550</v>
      </c>
      <c r="BK325" s="235">
        <f t="shared" si="1551"/>
        <v>0.98611111111111116</v>
      </c>
      <c r="BM325" s="15">
        <v>3600</v>
      </c>
      <c r="BN325" s="235">
        <f t="shared" si="1498"/>
        <v>1.0140845070422535</v>
      </c>
      <c r="BO325" s="235">
        <f t="shared" si="1499"/>
        <v>1</v>
      </c>
      <c r="BQ325" s="15"/>
      <c r="BR325" s="15">
        <f t="shared" si="1521"/>
        <v>3600</v>
      </c>
      <c r="BU325" s="15">
        <f>BR325+BT325</f>
        <v>3600</v>
      </c>
      <c r="BX325" s="15">
        <f>BU325+BW325</f>
        <v>3600</v>
      </c>
      <c r="CA325" s="15">
        <f>BX325+BZ325</f>
        <v>3600</v>
      </c>
      <c r="CD325" s="15">
        <f>CA325+CC325</f>
        <v>3600</v>
      </c>
      <c r="CG325" s="15">
        <f>CD325+CF325</f>
        <v>3600</v>
      </c>
      <c r="CJ325" s="15">
        <f>CG325+CI325</f>
        <v>3600</v>
      </c>
      <c r="CM325" s="15">
        <f>CJ325+CL325</f>
        <v>3600</v>
      </c>
      <c r="CP325" s="15">
        <f>CM325+CO325</f>
        <v>3600</v>
      </c>
      <c r="CS325" s="15">
        <f>CP325+CR325</f>
        <v>3600</v>
      </c>
      <c r="CV325" s="15">
        <f>CS325+CU325</f>
        <v>3600</v>
      </c>
      <c r="CY325" s="15">
        <f>CV325+CX325</f>
        <v>3600</v>
      </c>
      <c r="DA325" s="15">
        <v>3590</v>
      </c>
      <c r="DC325" s="15">
        <v>3600</v>
      </c>
      <c r="DE325" s="15"/>
      <c r="DF325" s="15">
        <f t="shared" si="1522"/>
        <v>3600</v>
      </c>
      <c r="DH325" s="15"/>
      <c r="DI325" s="15">
        <f t="shared" si="1523"/>
        <v>3600</v>
      </c>
      <c r="DK325" s="15"/>
      <c r="DL325" s="15">
        <f t="shared" si="1524"/>
        <v>3600</v>
      </c>
      <c r="DN325" s="227">
        <v>-3600</v>
      </c>
      <c r="DO325" s="15">
        <f t="shared" si="1525"/>
        <v>0</v>
      </c>
      <c r="DQ325" s="227">
        <v>5300</v>
      </c>
      <c r="DR325" s="15">
        <f t="shared" si="1526"/>
        <v>5300</v>
      </c>
      <c r="DT325" s="15"/>
      <c r="DU325" s="15">
        <f t="shared" si="1527"/>
        <v>5300</v>
      </c>
      <c r="DW325" s="15"/>
      <c r="DX325" s="15">
        <f t="shared" si="1528"/>
        <v>5300</v>
      </c>
      <c r="DZ325" s="15"/>
      <c r="EA325" s="15">
        <f t="shared" si="1529"/>
        <v>5300</v>
      </c>
      <c r="EC325" s="15"/>
      <c r="ED325" s="15">
        <f t="shared" si="1530"/>
        <v>5300</v>
      </c>
      <c r="EF325" s="227">
        <v>-5</v>
      </c>
      <c r="EG325" s="15">
        <f t="shared" si="1531"/>
        <v>5295</v>
      </c>
      <c r="EI325" s="15">
        <v>5295</v>
      </c>
      <c r="EK325" s="15">
        <v>5300</v>
      </c>
      <c r="EM325" s="15"/>
      <c r="EN325" s="15">
        <f>EK325+EM325</f>
        <v>5300</v>
      </c>
      <c r="EP325" s="15"/>
      <c r="EQ325" s="15">
        <f>EN325+EP325</f>
        <v>5300</v>
      </c>
      <c r="ES325" s="15"/>
      <c r="ET325" s="15">
        <f>EQ325+ES325</f>
        <v>5300</v>
      </c>
      <c r="EW325" s="15">
        <f>ET325+EV325</f>
        <v>5300</v>
      </c>
      <c r="EZ325" s="15">
        <f>EW325+EY325</f>
        <v>5300</v>
      </c>
      <c r="FC325" s="15">
        <f>EZ325+FB325</f>
        <v>5300</v>
      </c>
      <c r="FF325" s="15">
        <f>FC325+FE325</f>
        <v>5300</v>
      </c>
      <c r="FI325" s="15">
        <f>FF325+FH325</f>
        <v>5300</v>
      </c>
      <c r="FK325" s="227">
        <v>-260</v>
      </c>
      <c r="FL325" s="15">
        <f>FI325+FK325</f>
        <v>5040</v>
      </c>
      <c r="FO325" s="15">
        <f>FL325+FN325</f>
        <v>5040</v>
      </c>
      <c r="FR325" s="15">
        <v>5040</v>
      </c>
      <c r="FT325" s="15">
        <v>5040</v>
      </c>
      <c r="FV325" s="15">
        <v>0</v>
      </c>
      <c r="FW325" s="235">
        <f t="shared" si="1489"/>
        <v>0</v>
      </c>
    </row>
    <row r="326" spans="1:179" outlineLevel="2">
      <c r="A326" s="1" t="s">
        <v>99</v>
      </c>
      <c r="B326" s="1" t="s">
        <v>497</v>
      </c>
      <c r="C326" s="4" t="s">
        <v>498</v>
      </c>
      <c r="D326" s="43"/>
      <c r="E326" s="34"/>
      <c r="F326" s="43"/>
      <c r="G326" s="34"/>
      <c r="H326" s="46"/>
      <c r="M326" s="17"/>
      <c r="N326" s="17"/>
      <c r="U326" s="16"/>
      <c r="Y326" s="118"/>
      <c r="AB326" s="185"/>
      <c r="AC326" s="187"/>
      <c r="AD326" s="187"/>
      <c r="AF326" s="182"/>
      <c r="AH326" s="15"/>
      <c r="AI326" s="17"/>
      <c r="AS326" s="15"/>
      <c r="AV326" s="15"/>
      <c r="AX326" s="15"/>
      <c r="AY326" s="15"/>
      <c r="BB326" s="15"/>
      <c r="BD326" s="15"/>
      <c r="BE326" s="15"/>
      <c r="BG326" s="15">
        <v>1300</v>
      </c>
      <c r="BH326" s="15">
        <f t="shared" si="1550"/>
        <v>1300</v>
      </c>
      <c r="BJ326" s="15">
        <v>1281.0999999999999</v>
      </c>
      <c r="BK326" s="235">
        <f t="shared" si="1551"/>
        <v>0.98546153846153839</v>
      </c>
      <c r="BM326" s="15">
        <v>0</v>
      </c>
      <c r="BN326" s="235">
        <f t="shared" si="1498"/>
        <v>0</v>
      </c>
      <c r="BO326" s="235">
        <f t="shared" si="1499"/>
        <v>0</v>
      </c>
      <c r="BQ326" s="15"/>
      <c r="BR326" s="15">
        <f t="shared" si="1521"/>
        <v>0</v>
      </c>
      <c r="BT326" s="15"/>
      <c r="BU326" s="15">
        <f>BR326+BT326</f>
        <v>0</v>
      </c>
      <c r="BW326" s="15"/>
      <c r="BX326" s="15">
        <f>BU326+BW326</f>
        <v>0</v>
      </c>
      <c r="BZ326" s="15"/>
      <c r="CA326" s="15">
        <f>BX326+BZ326</f>
        <v>0</v>
      </c>
      <c r="CC326" s="15"/>
      <c r="CD326" s="15">
        <f>CA326+CC326</f>
        <v>0</v>
      </c>
      <c r="CF326" s="15"/>
      <c r="CG326" s="15">
        <f>CD326+CF326</f>
        <v>0</v>
      </c>
      <c r="CI326" s="15"/>
      <c r="CJ326" s="15">
        <f>CG326+CI326</f>
        <v>0</v>
      </c>
      <c r="CM326" s="15">
        <f>CJ326+CL326</f>
        <v>0</v>
      </c>
      <c r="CP326" s="15">
        <f>CM326+CO326</f>
        <v>0</v>
      </c>
      <c r="CS326" s="15">
        <f>CP326+CR326</f>
        <v>0</v>
      </c>
      <c r="CV326" s="15">
        <f>CS326+CU326</f>
        <v>0</v>
      </c>
      <c r="CY326" s="15">
        <f>CV326+CX326</f>
        <v>0</v>
      </c>
      <c r="DE326" s="15"/>
      <c r="DF326" s="15">
        <f t="shared" si="1522"/>
        <v>0</v>
      </c>
      <c r="DH326" s="15"/>
      <c r="DI326" s="15">
        <f t="shared" si="1523"/>
        <v>0</v>
      </c>
      <c r="DK326" s="15"/>
      <c r="DL326" s="15">
        <f t="shared" si="1524"/>
        <v>0</v>
      </c>
      <c r="DN326" s="15"/>
      <c r="DO326" s="15">
        <f t="shared" si="1525"/>
        <v>0</v>
      </c>
      <c r="DQ326" s="15"/>
      <c r="DR326" s="15">
        <f t="shared" si="1526"/>
        <v>0</v>
      </c>
      <c r="DT326" s="15"/>
      <c r="DU326" s="15">
        <f t="shared" si="1527"/>
        <v>0</v>
      </c>
      <c r="DW326" s="15"/>
      <c r="DX326" s="15">
        <f t="shared" si="1528"/>
        <v>0</v>
      </c>
      <c r="DZ326" s="15"/>
      <c r="EA326" s="15">
        <f t="shared" si="1529"/>
        <v>0</v>
      </c>
      <c r="EC326" s="15"/>
      <c r="ED326" s="15">
        <f t="shared" si="1530"/>
        <v>0</v>
      </c>
      <c r="EF326" s="15"/>
      <c r="EG326" s="15">
        <f t="shared" si="1531"/>
        <v>0</v>
      </c>
      <c r="EK326" s="15">
        <v>0</v>
      </c>
      <c r="EM326" s="15"/>
      <c r="EN326" s="15">
        <f t="shared" si="1532"/>
        <v>0</v>
      </c>
      <c r="EP326" s="15"/>
      <c r="EQ326" s="15">
        <f t="shared" ref="EQ326" si="1552">EN326+EP326</f>
        <v>0</v>
      </c>
      <c r="ES326" s="15"/>
      <c r="ET326" s="15">
        <f t="shared" ref="ET326" si="1553">EQ326+ES326</f>
        <v>0</v>
      </c>
      <c r="EW326" s="15">
        <f t="shared" ref="EW326" si="1554">ET326+EV326</f>
        <v>0</v>
      </c>
      <c r="EZ326" s="15">
        <f t="shared" ref="EZ326" si="1555">EW326+EY326</f>
        <v>0</v>
      </c>
      <c r="FC326" s="15">
        <f t="shared" ref="FC326" si="1556">EZ326+FB326</f>
        <v>0</v>
      </c>
      <c r="FF326" s="15">
        <f t="shared" ref="FF326" si="1557">FC326+FE326</f>
        <v>0</v>
      </c>
      <c r="FI326" s="15">
        <f t="shared" ref="FI326" si="1558">FF326+FH326</f>
        <v>0</v>
      </c>
      <c r="FL326" s="15">
        <f t="shared" ref="FL326" si="1559">FI326+FK326</f>
        <v>0</v>
      </c>
      <c r="FO326" s="15">
        <f t="shared" ref="FO326" si="1560">FL326+FN326</f>
        <v>0</v>
      </c>
      <c r="FR326" s="15">
        <v>0</v>
      </c>
      <c r="FW326" s="235" t="e">
        <f t="shared" si="1489"/>
        <v>#DIV/0!</v>
      </c>
    </row>
    <row r="327" spans="1:179" outlineLevel="2">
      <c r="A327" s="1" t="s">
        <v>99</v>
      </c>
      <c r="B327" s="4" t="s">
        <v>46</v>
      </c>
      <c r="C327" s="4" t="s">
        <v>102</v>
      </c>
      <c r="D327" s="43">
        <v>10000</v>
      </c>
      <c r="E327" s="34">
        <v>100.49</v>
      </c>
      <c r="F327" s="43">
        <v>10049</v>
      </c>
      <c r="G327" s="34">
        <v>100</v>
      </c>
      <c r="H327" s="46">
        <v>10049</v>
      </c>
      <c r="Y327" s="118"/>
      <c r="AF327" s="182"/>
      <c r="AH327" s="15"/>
      <c r="AX327" s="15"/>
      <c r="BD327" s="15"/>
      <c r="BG327" s="15"/>
      <c r="DE327" s="15"/>
      <c r="DH327" s="15"/>
      <c r="DK327" s="15"/>
      <c r="DN327" s="15"/>
      <c r="DQ327" s="15"/>
      <c r="DT327" s="15"/>
      <c r="DW327" s="15"/>
      <c r="DZ327" s="15"/>
      <c r="EC327" s="15"/>
      <c r="EF327" s="15"/>
      <c r="EK327" s="15"/>
      <c r="EM327" s="15"/>
      <c r="EP327" s="15"/>
      <c r="ES327" s="15"/>
    </row>
    <row r="328" spans="1:179" outlineLevel="2">
      <c r="A328" s="1" t="s">
        <v>103</v>
      </c>
      <c r="B328" s="4" t="s">
        <v>48</v>
      </c>
      <c r="C328" s="4" t="s">
        <v>104</v>
      </c>
      <c r="D328" s="43">
        <v>10000</v>
      </c>
      <c r="E328" s="34">
        <v>401.75</v>
      </c>
      <c r="F328" s="43">
        <v>40175</v>
      </c>
      <c r="G328" s="34">
        <v>100</v>
      </c>
      <c r="H328" s="46">
        <v>40175</v>
      </c>
      <c r="Y328" s="118"/>
      <c r="AF328" s="182"/>
      <c r="AH328" s="15"/>
      <c r="AX328" s="15"/>
      <c r="BD328" s="15"/>
      <c r="BG328" s="15"/>
      <c r="DE328" s="15"/>
      <c r="DH328" s="15"/>
      <c r="DK328" s="15"/>
      <c r="DN328" s="15"/>
      <c r="DQ328" s="15"/>
      <c r="DT328" s="15"/>
      <c r="DW328" s="15"/>
      <c r="DZ328" s="15"/>
      <c r="EC328" s="15"/>
      <c r="EF328" s="15"/>
      <c r="EK328" s="15"/>
      <c r="EM328" s="15"/>
      <c r="EP328" s="15"/>
      <c r="ES328" s="15"/>
    </row>
    <row r="329" spans="1:179" ht="14.25" customHeight="1" thickBot="1">
      <c r="A329" s="54" t="s">
        <v>103</v>
      </c>
      <c r="B329" s="55" t="s">
        <v>316</v>
      </c>
      <c r="C329" s="56" t="s">
        <v>355</v>
      </c>
      <c r="D329" s="57">
        <f>D319+D324+D325</f>
        <v>10000</v>
      </c>
      <c r="E329" s="58"/>
      <c r="F329" s="57">
        <f>F319+F324+F325</f>
        <v>40175</v>
      </c>
      <c r="G329" s="58"/>
      <c r="H329" s="57"/>
      <c r="I329" s="57">
        <f>I319+I324+I325</f>
        <v>40175</v>
      </c>
      <c r="J329" s="59"/>
      <c r="K329" s="60"/>
      <c r="L329" s="122">
        <f>L319+L324+L325</f>
        <v>10200</v>
      </c>
      <c r="M329" s="61">
        <f>L329/F329-1</f>
        <v>-0.746110765401369</v>
      </c>
      <c r="N329" s="61">
        <f>L329/I329-1</f>
        <v>-0.746110765401369</v>
      </c>
      <c r="Q329" s="122">
        <f>Q319+Q324+Q325</f>
        <v>26110</v>
      </c>
      <c r="R329" s="122">
        <f>R319+R324+R325</f>
        <v>25985</v>
      </c>
      <c r="S329" s="122">
        <f>S319+S324+S325</f>
        <v>26110</v>
      </c>
      <c r="T329" s="122">
        <f>T319+T324+T325</f>
        <v>0</v>
      </c>
      <c r="U329" s="155">
        <f>S329/Q329-1</f>
        <v>0</v>
      </c>
      <c r="Y329" s="122">
        <f>Y319+Y324+Y325</f>
        <v>26110</v>
      </c>
      <c r="AA329" s="122">
        <f>AA319+AA324+AA325</f>
        <v>26110</v>
      </c>
      <c r="AB329" s="122">
        <f>AB319+AB324+AB325</f>
        <v>0</v>
      </c>
      <c r="AE329" s="122">
        <f>AE319+AE324+AE325</f>
        <v>26110</v>
      </c>
      <c r="AF329" s="182"/>
      <c r="AH329" s="122">
        <f>AH319+AH324+AH325</f>
        <v>25985.760000000002</v>
      </c>
      <c r="AI329" s="17">
        <f t="shared" ref="AI329" si="1561">AH329/AE329</f>
        <v>0.99524166985829188</v>
      </c>
      <c r="AK329" s="122">
        <f>AK319+AK324+AK325</f>
        <v>21400</v>
      </c>
      <c r="AL329" s="193">
        <f>AK329/L329</f>
        <v>2.0980392156862746</v>
      </c>
      <c r="AM329" s="17">
        <f>AK329/AE329</f>
        <v>0.81960934507851402</v>
      </c>
      <c r="AN329" s="17">
        <f>AK329/AH329</f>
        <v>0.8235279630074317</v>
      </c>
      <c r="AS329" s="122">
        <f>AS319+AS324+AS325</f>
        <v>21400</v>
      </c>
      <c r="AU329" s="122">
        <f>AU319+AU324+AU325</f>
        <v>0</v>
      </c>
      <c r="AV329" s="122">
        <f>AV319+AV324+AV325</f>
        <v>21400</v>
      </c>
      <c r="AX329" s="122">
        <f>AX319+AX324+AX325</f>
        <v>0</v>
      </c>
      <c r="AY329" s="122">
        <f>AY319+AY324+AY325</f>
        <v>21400</v>
      </c>
      <c r="BA329" s="122">
        <f>BA319+BA324+BA325</f>
        <v>0</v>
      </c>
      <c r="BB329" s="122">
        <f>BB319+BB324+BB325</f>
        <v>21400</v>
      </c>
      <c r="BD329" s="122">
        <f>BD319+BD324+BD325</f>
        <v>0</v>
      </c>
      <c r="BE329" s="122">
        <f>BE319+BE324+BE325</f>
        <v>21400</v>
      </c>
      <c r="BG329" s="122">
        <f>BG319+BG324+BG325+BG326</f>
        <v>1300</v>
      </c>
      <c r="BH329" s="122">
        <f>BH319+BH324+BH325+BH326</f>
        <v>22700</v>
      </c>
      <c r="BJ329" s="122">
        <f>BJ319+BJ324+BJ325+BJ326</f>
        <v>22055.18</v>
      </c>
      <c r="BK329" s="236">
        <f t="shared" ref="BK329" si="1562">BJ329/BH329</f>
        <v>0.97159383259911891</v>
      </c>
      <c r="BM329" s="122">
        <f>BM319+BM324+BM325+BM326</f>
        <v>24800</v>
      </c>
      <c r="BN329" s="236">
        <f t="shared" ref="BN329" si="1563">BM329/BJ329</f>
        <v>1.1244523962171245</v>
      </c>
      <c r="BO329" s="236">
        <f t="shared" ref="BO329" si="1564">BM329/BH329</f>
        <v>1.0925110132158591</v>
      </c>
      <c r="BQ329" s="122">
        <f>BQ319+BQ324+BQ325+BQ326+BQ322</f>
        <v>5050</v>
      </c>
      <c r="BR329" s="122">
        <f>BR319+BR324+BR325+BR326+BR322</f>
        <v>29850</v>
      </c>
      <c r="BT329" s="122">
        <f>BT319+BT324+BT325+BT326+BT322</f>
        <v>0</v>
      </c>
      <c r="BU329" s="122">
        <f>BU319+BU324+BU325+BU326+BU322</f>
        <v>29850</v>
      </c>
      <c r="BW329" s="122">
        <f>BW319+BW324+BW325+BW326+BW322</f>
        <v>0</v>
      </c>
      <c r="BX329" s="122">
        <f>BX319+BX324+BX325+BX326+BX322</f>
        <v>29850</v>
      </c>
      <c r="BZ329" s="122">
        <f>BZ319+BZ324+BZ325+BZ326+BZ322</f>
        <v>0</v>
      </c>
      <c r="CA329" s="122">
        <f>CA319+CA324+CA325+CA326+CA322</f>
        <v>29850</v>
      </c>
      <c r="CC329" s="122">
        <f>CC319+CC324+CC325+CC326+CC322</f>
        <v>0</v>
      </c>
      <c r="CD329" s="122">
        <f>CD319+CD324+CD325+CD326+CD322</f>
        <v>29850</v>
      </c>
      <c r="CF329" s="122">
        <f>CF319+CF324+CF325+CF326+CF322+CF321</f>
        <v>10</v>
      </c>
      <c r="CG329" s="122">
        <f>CG319+CG324+CG325+CG326+CG322+CG321</f>
        <v>29860</v>
      </c>
      <c r="CI329" s="122">
        <f>CI319+CI324+CI325+CI326+CI322+CI321</f>
        <v>0</v>
      </c>
      <c r="CJ329" s="122">
        <f>CJ319+CJ324+CJ325+CJ326+CJ322+CJ321</f>
        <v>29860</v>
      </c>
      <c r="CL329" s="319">
        <f>CL319+CL324+CL325+CL326+CL322+CL321</f>
        <v>0</v>
      </c>
      <c r="CM329" s="122">
        <f>CM319+CM324+CM325+CM326+CM322+CM321</f>
        <v>29860</v>
      </c>
      <c r="CO329" s="122">
        <f>CO319+CO324+CO325+CO326+CO322+CO321</f>
        <v>-2000</v>
      </c>
      <c r="CP329" s="122">
        <f>CP319+CP324+CP325+CP326+CP322+CP321</f>
        <v>27860</v>
      </c>
      <c r="CR329" s="122">
        <f>CR319+CR324+CR325+CR326+CR322+CR321</f>
        <v>0</v>
      </c>
      <c r="CS329" s="122">
        <f>CS319+CS324+CS325+CS326+CS322+CS321</f>
        <v>27860</v>
      </c>
      <c r="CU329" s="122">
        <f>CU319+CU324+CU325+CU326+CU322+CU321</f>
        <v>0</v>
      </c>
      <c r="CV329" s="122">
        <f>CV319+CV324+CV325+CV326+CV322+CV321</f>
        <v>27860</v>
      </c>
      <c r="CX329" s="122">
        <f>CX319+CX324+CX325+CX326+CX322+CX321</f>
        <v>0</v>
      </c>
      <c r="CY329" s="122">
        <f>CY319+CY324+CY325+CY326+CY322+CY321</f>
        <v>27860</v>
      </c>
      <c r="DA329" s="122">
        <f>DA319+DA324+DA325+DA326+DA322+DA321</f>
        <v>26855.72</v>
      </c>
      <c r="DC329" s="122">
        <f>DC319+DC324+DC325+DC326+DC322+DC321</f>
        <v>42850</v>
      </c>
      <c r="DE329" s="122">
        <f>DE319+DE324+DE325+DE326+DE322</f>
        <v>0</v>
      </c>
      <c r="DF329" s="122">
        <f>DF319+DF324+DF325+DF326+DF322</f>
        <v>42850</v>
      </c>
      <c r="DH329" s="122">
        <f>DH319+DH324+DH325+DH326+DH322</f>
        <v>0</v>
      </c>
      <c r="DI329" s="122">
        <f>DI319+DI324+DI325+DI326+DI322</f>
        <v>42850</v>
      </c>
      <c r="DK329" s="122">
        <f>DK319+DK324+DK325+DK326+DK322</f>
        <v>0</v>
      </c>
      <c r="DL329" s="122">
        <f>DL319+DL324+DL325+DL326+DL322</f>
        <v>42850</v>
      </c>
      <c r="DN329" s="122">
        <f>DN319+DN324+DN325+DN326+DN322+DN323</f>
        <v>0</v>
      </c>
      <c r="DO329" s="122">
        <f>DO319+DO324+DO325+DO326+DO322+DO323</f>
        <v>42850</v>
      </c>
      <c r="DQ329" s="122">
        <f>DQ319+DQ324+DQ325+DQ326+DQ322+DQ323</f>
        <v>5300</v>
      </c>
      <c r="DR329" s="122">
        <f>DR319+DR324+DR325+DR326+DR322+DR323</f>
        <v>48150</v>
      </c>
      <c r="DT329" s="122">
        <f>DT319+DT324+DT325+DT326+DT322+DT323</f>
        <v>0</v>
      </c>
      <c r="DU329" s="122">
        <f>DU319+DU324+DU325+DU326+DU322+DU323</f>
        <v>48150</v>
      </c>
      <c r="DW329" s="122">
        <f>DW319+DW324+DW325+DW326+DW322+DW323</f>
        <v>0</v>
      </c>
      <c r="DX329" s="122">
        <f>DX319+DX324+DX325+DX326+DX322+DX323</f>
        <v>48150</v>
      </c>
      <c r="DZ329" s="122">
        <f>DZ319+DZ324+DZ325+DZ326+DZ322+DZ323</f>
        <v>480</v>
      </c>
      <c r="EA329" s="122">
        <f>EA319+EA324+EA325+EA326+EA322+EA323</f>
        <v>48630</v>
      </c>
      <c r="EC329" s="122">
        <f>EC319+EC324+EC325+EC326+EC322+EC323</f>
        <v>-140</v>
      </c>
      <c r="ED329" s="122">
        <f>ED319+ED324+ED325+ED326+ED322+ED323</f>
        <v>48490</v>
      </c>
      <c r="EF329" s="122">
        <f>EF319+EF324+EF325+EF326+EF322+EF323</f>
        <v>-547</v>
      </c>
      <c r="EG329" s="122">
        <f>EG319+EG324+EG325+EG326+EG322+EG323</f>
        <v>47943</v>
      </c>
      <c r="EI329" s="122">
        <f>EI319+EI324+EI325+EI326+EI322+EI323</f>
        <v>44244.6</v>
      </c>
      <c r="EK329" s="122">
        <f>EK319+EK324+EK325+EK326+EK322+EK323</f>
        <v>33402</v>
      </c>
      <c r="EM329" s="122">
        <f>EM319+EM324+EM325+EM326+EM322+EM323</f>
        <v>0</v>
      </c>
      <c r="EN329" s="122">
        <f>EN319+EN324+EN325+EN326+EN322+EN323</f>
        <v>33402</v>
      </c>
      <c r="EP329" s="122">
        <f>EP319+EP324+EP325+EP326+EP322+EP323</f>
        <v>0</v>
      </c>
      <c r="EQ329" s="122">
        <f>EQ319+EQ324+EQ325+EQ326+EQ322+EQ323</f>
        <v>33402</v>
      </c>
      <c r="ES329" s="122">
        <f>ES319+ES324+ES325+ES326+ES322+ES323</f>
        <v>0</v>
      </c>
      <c r="ET329" s="122">
        <f>ET319+ET324+ET325+ET326+ET322+ET323</f>
        <v>33402</v>
      </c>
      <c r="EV329" s="122">
        <f>EV319+EV324+EV325+EV326+EV322+EV323</f>
        <v>0</v>
      </c>
      <c r="EW329" s="122">
        <f>EW319+EW324+EW325+EW326+EW322+EW323</f>
        <v>33402</v>
      </c>
      <c r="EY329" s="122">
        <f>EY319+EY324+EY325+EY326+EY322+EY323</f>
        <v>0</v>
      </c>
      <c r="EZ329" s="122">
        <f>EZ319+EZ324+EZ325+EZ326+EZ322+EZ323</f>
        <v>33402</v>
      </c>
      <c r="FB329" s="122">
        <f>FB319+FB324+FB325+FB326+FB322+FB323</f>
        <v>0</v>
      </c>
      <c r="FC329" s="122">
        <f>FC319+FC324+FC325+FC326+FC322+FC323</f>
        <v>33402</v>
      </c>
      <c r="FE329" s="122">
        <f>FE319+FE324+FE325+FE326+FE322+FE323</f>
        <v>0</v>
      </c>
      <c r="FF329" s="122">
        <f>FF319+FF324+FF325+FF326+FF322+FF323</f>
        <v>33402</v>
      </c>
      <c r="FH329" s="122">
        <f>FH319+FH324+FH325+FH326+FH322+FH323</f>
        <v>0</v>
      </c>
      <c r="FI329" s="122">
        <f>FI319+FI324+FI325+FI326+FI322+FI323</f>
        <v>33402</v>
      </c>
      <c r="FK329" s="122">
        <f>FK319+FK324+FK325+FK326+FK322+FK323</f>
        <v>-491</v>
      </c>
      <c r="FL329" s="122">
        <f>FL319+FL324+FL325+FL326+FL322+FL323</f>
        <v>32911</v>
      </c>
      <c r="FN329" s="122">
        <f>FN319+FN324+FN325+FN326+FN322+FN323</f>
        <v>0</v>
      </c>
      <c r="FO329" s="122">
        <f>FO319+FO324+FO325+FO326+FO322+FO323</f>
        <v>32911</v>
      </c>
      <c r="FQ329" s="122">
        <v>0</v>
      </c>
      <c r="FR329" s="122">
        <v>32911</v>
      </c>
      <c r="FT329" s="122">
        <f>FT319+FT324+FT325+FT326+FT322+FT323</f>
        <v>32910.9</v>
      </c>
      <c r="FV329" s="122">
        <f>FV319+FV324+FV325+FV326+FV322+FV323</f>
        <v>38285</v>
      </c>
      <c r="FW329" s="235">
        <f t="shared" ref="FW329" si="1565">FV329/FT329</f>
        <v>1.163292404644054</v>
      </c>
    </row>
    <row r="330" spans="1:179" ht="14.25" customHeight="1" thickTop="1">
      <c r="A330" s="445" t="s">
        <v>259</v>
      </c>
      <c r="B330" s="444"/>
      <c r="C330" s="446"/>
      <c r="D330" s="43">
        <v>6607000</v>
      </c>
      <c r="E330" s="34">
        <v>75.77</v>
      </c>
      <c r="F330" s="43">
        <v>6836574.3399999999</v>
      </c>
      <c r="G330" s="34">
        <v>73.23</v>
      </c>
      <c r="H330" s="46">
        <v>5006207.7699999996</v>
      </c>
      <c r="AF330" s="182"/>
      <c r="AH330" s="15"/>
      <c r="AX330" s="15"/>
      <c r="BD330" s="15"/>
      <c r="BG330" s="15"/>
      <c r="BN330" s="235"/>
      <c r="BO330" s="235"/>
      <c r="DE330" s="15"/>
      <c r="DF330" s="15"/>
      <c r="DH330" s="15"/>
      <c r="DI330" s="15"/>
      <c r="DK330" s="15"/>
      <c r="DL330" s="15"/>
      <c r="DN330" s="15"/>
      <c r="DO330" s="15"/>
      <c r="DQ330" s="15"/>
      <c r="DR330" s="15"/>
      <c r="DT330" s="15"/>
      <c r="DU330" s="15"/>
      <c r="DW330" s="15"/>
      <c r="DX330" s="15"/>
      <c r="DZ330" s="15"/>
      <c r="EA330" s="15"/>
      <c r="EC330" s="15"/>
      <c r="ED330" s="15"/>
      <c r="EF330" s="15"/>
      <c r="EG330" s="15"/>
      <c r="EK330" s="15"/>
      <c r="EM330" s="15"/>
      <c r="EN330" s="15"/>
      <c r="EP330" s="15"/>
      <c r="EQ330" s="15"/>
      <c r="ES330" s="15"/>
      <c r="ET330" s="15"/>
      <c r="EW330" s="15"/>
      <c r="EZ330" s="15"/>
      <c r="FC330" s="15"/>
      <c r="FF330" s="15"/>
      <c r="FI330" s="15"/>
      <c r="FL330" s="15"/>
      <c r="FO330" s="15"/>
      <c r="FR330" s="15"/>
    </row>
    <row r="331" spans="1:179">
      <c r="AF331" s="182"/>
      <c r="AH331" s="15"/>
      <c r="AX331" s="15"/>
      <c r="BD331" s="15"/>
      <c r="BG331" s="15"/>
      <c r="BN331" s="235"/>
      <c r="BO331" s="235"/>
      <c r="DE331" s="15"/>
      <c r="DF331" s="15"/>
      <c r="DH331" s="15"/>
      <c r="DI331" s="15"/>
      <c r="DK331" s="15"/>
      <c r="DL331" s="15"/>
      <c r="DN331" s="15"/>
      <c r="DO331" s="15"/>
      <c r="DQ331" s="15"/>
      <c r="DR331" s="15"/>
      <c r="DT331" s="15"/>
      <c r="DU331" s="15"/>
      <c r="DW331" s="15"/>
      <c r="DX331" s="15"/>
      <c r="DZ331" s="15"/>
      <c r="EA331" s="15"/>
      <c r="EC331" s="15"/>
      <c r="ED331" s="15"/>
      <c r="EF331" s="15"/>
      <c r="EG331" s="15"/>
      <c r="EK331" s="15"/>
      <c r="EM331" s="15"/>
      <c r="EN331" s="15"/>
      <c r="EP331" s="15"/>
      <c r="EQ331" s="15"/>
      <c r="ES331" s="15"/>
      <c r="ET331" s="15"/>
      <c r="EW331" s="15"/>
      <c r="EZ331" s="15"/>
      <c r="FC331" s="15"/>
      <c r="FF331" s="15"/>
      <c r="FI331" s="15"/>
      <c r="FL331" s="15"/>
      <c r="FO331" s="15"/>
      <c r="FR331" s="15"/>
    </row>
    <row r="332" spans="1:179" ht="15.75" thickBot="1">
      <c r="A332" s="60"/>
      <c r="B332" s="60" t="s">
        <v>316</v>
      </c>
      <c r="C332" s="283" t="s">
        <v>317</v>
      </c>
      <c r="D332" s="62" t="e">
        <f>D8+D23+D31+D37+D43+D54+D68+D80+D87+D101+D115+D120+D129+D138+D150+D162+D186+D223+D230+D260+D293+D302+D306+D313+D318+D329</f>
        <v>#REF!</v>
      </c>
      <c r="E332" s="63"/>
      <c r="F332" s="62" t="e">
        <f>F8+F23+F31+F37+F43+F54+F68+F80+F87+F101+F115+F120+F129+F138+F150+F162+F186+F223+F230+F260+F293+F302+F306+F313+F318+F329</f>
        <v>#REF!</v>
      </c>
      <c r="G332" s="63"/>
      <c r="H332" s="62"/>
      <c r="I332" s="62" t="e">
        <f>I8+I23+I31+I37+I43+I54+I68+I80+I87+I101+I115+I120+I129+I138+I150+I162+I186+I223+I230+I260+I293+I302+I306+I313+I318+I329</f>
        <v>#REF!</v>
      </c>
      <c r="J332" s="60"/>
      <c r="K332" s="60"/>
      <c r="L332" s="127">
        <f>L8+L23+L31+L37+L43+L54+L68+L80+L87+L101+L115+L120+L129+L138+L150+L162+L186+L223+L230+L260+L293+L302+L306+L313+L318+L329</f>
        <v>4309999.92</v>
      </c>
      <c r="M332" s="61" t="e">
        <f>L332/F332-1</f>
        <v>#REF!</v>
      </c>
      <c r="N332" s="61" t="e">
        <f>L332/I332-1</f>
        <v>#REF!</v>
      </c>
      <c r="Q332" s="127">
        <f>Q8+Q23+Q31+Q37+Q43+Q54+Q68+Q80+Q87+Q101+Q115+Q120+Q129+Q138+Q150+Q162+Q186+Q223+Q230+Q260+Q293+Q302+Q306+Q313+Q318+Q329+Q195</f>
        <v>4914400</v>
      </c>
      <c r="R332" s="127">
        <f>R8+R23+R31+R37+R43+R54+R68+R80+R87+R101+R115+R120+R129+R138+R150+R162+R186+R223+R230+R260+R293+R302+R306+R313+R318+R329+R195</f>
        <v>2486906</v>
      </c>
      <c r="S332" s="127">
        <f>S8+S23+S31+S37+S43+S54+S68+S80+S87+S101+S115+S120+S129+S138+S150+S162+S186+S223+S230+S260+S293+S302+S306+S313+S318+S329+S195</f>
        <v>4536500</v>
      </c>
      <c r="T332" s="127">
        <f>T8+T23+T31+T37+T43+T54+T68+T80+T87+T101+T115+T120+T129+T138+T150+T162+T186+T223+T230+T260+T293+T302+T306+T313+T318+T329</f>
        <v>-387400</v>
      </c>
      <c r="U332" s="155">
        <f>S332/Q332-1</f>
        <v>-7.6896467524011025E-2</v>
      </c>
      <c r="Y332" s="127">
        <f>Y8+Y23+Y31+Y37+Y43+Y54+Y68+Y80+Y87+Y101+Y115+Y120+Y129+Y138+Y150+Y162+Y186+Y223+Y230+Y260+Y293+Y302+Y306+Y313+Y318+Y329+Y195</f>
        <v>4572200</v>
      </c>
      <c r="Z332" s="127"/>
      <c r="AA332" s="127">
        <f>AA8+AA23+AA31+AA37+AA43+AA54+AA68+AA80+AA87+AA101+AA115+AA120+AA129+AA138+AA150+AA162+AA186+AA223+AA230+AA260+AA293+AA302+AA306+AA313+AA318+AA329+AA195</f>
        <v>4854900</v>
      </c>
      <c r="AB332" s="127">
        <f>AB8+AB23+AB31+AB37+AB43+AB54+AB68+AB80+AB87+AB101+AB115+AB120+AB129+AB138+AB150+AB162+AB186+AB223+AB230+AB260+AB293+AB302+AB306+AB313+AB318+AB329+AB195</f>
        <v>282700</v>
      </c>
      <c r="AE332" s="127">
        <f>AE8+AE23+AE31+AE37+AE43+AE54+AE68+AE80+AE87+AE101+AE115+AE120+AE129+AE138+AE150+AE162+AE186+AE223+AE230+AE260+AE293+AE302+AE306+AE313+AE318+AE329+AE195</f>
        <v>4954150</v>
      </c>
      <c r="AH332" s="127">
        <f>AH8+AH23+AH31+AH37+AH43+AH54+AH68+AH80+AH87+AH101+AH115+AH120+AH129+AH138+AH150+AH162+AH186+AH223+AH230+AH260+AH293+AH302+AH306+AH313+AH318+AH329+AH195</f>
        <v>4665142.3800000008</v>
      </c>
      <c r="AI332" s="17">
        <f t="shared" ref="AI332:AI333" si="1566">AH332/AE332</f>
        <v>0.94166353057537633</v>
      </c>
      <c r="AK332" s="127">
        <f>AK8+AK23+AK31+AK37+AK43+AK54+AK68+AK80+AK87+AK101+AK115+AK120+AK129+AK138+AK150+AK162+AK186+AK223+AK230+AK260+AK293+AK302+AK306+AK313+AK318+AK329+AK195</f>
        <v>4265000</v>
      </c>
      <c r="AL332" s="193">
        <f t="shared" ref="AL332:AL333" si="1567">AK332/L332</f>
        <v>0.98955918310086655</v>
      </c>
      <c r="AM332" s="17">
        <f t="shared" ref="AM332:AM333" si="1568">AK332/AE332</f>
        <v>0.86089440166325204</v>
      </c>
      <c r="AN332" s="17">
        <f t="shared" ref="AN332:AN333" si="1569">AK332/AH332</f>
        <v>0.91422718806708725</v>
      </c>
      <c r="AR332" s="127">
        <f>AR8+AR23+AR31+AR37+AR43+AR54+AR68+AR80+AR87+AR101+AR115+AR120+AR129+AR138+AR150+AR162+AR186+AR223+AR230+AR260+AR293+AR302+AR306+AR313+AR318+AR329+AR195</f>
        <v>100000</v>
      </c>
      <c r="AS332" s="127">
        <f>AS8+AS23+AS31+AS37+AS43+AS54+AS68+AS80+AS87+AS101+AS115+AS120+AS129+AS138+AS150+AS162+AS186+AS223+AS230+AS260+AS293+AS302+AS306+AS313+AS318+AS329+AS195</f>
        <v>4365000</v>
      </c>
      <c r="AU332" s="127">
        <f>AU8+AU23+AU31+AU37+AU43+AU54+AU68+AU80+AU87+AU101+AU115+AU120+AU129+AU138+AU150+AU162+AU186+AU223+AU230+AU260+AU293+AU302+AU306+AU313+AU318+AU329+AU195+AU199</f>
        <v>150300</v>
      </c>
      <c r="AV332" s="127">
        <f>AV8+AV23+AV31+AV37+AV43+AV54+AV68+AV80+AV87+AV101+AV115+AV120+AV129+AV138+AV150+AV162+AV186+AV223+AV230+AV260+AV293+AV302+AV306+AV313+AV318+AV329+AV195+AV199</f>
        <v>4515300</v>
      </c>
      <c r="AX332" s="127">
        <f>AX8+AX23+AX31+AX37+AX43+AX54+AX68+AX80+AX87+AX101+AX115+AX120+AX129+AX138+AX150+AX162+AX186+AX223+AX230+AX260+AX293+AX302+AX306+AX313+AX318+AX329+AX195+AX199</f>
        <v>49297.26</v>
      </c>
      <c r="AY332" s="127">
        <f>AY8+AY23+AY31+AY37+AY43+AY54+AY68+AY80+AY87+AY101+AY115+AY120+AY129+AY138+AY150+AY162+AY186+AY223+AY230+AY260+AY293+AY302+AY306+AY313+AY318+AY329+AY195+AY199</f>
        <v>4564597.26</v>
      </c>
      <c r="BA332" s="127">
        <f>BA8+BA23+BA31+BA37+BA43+BA54+BA68+BA80+BA87+BA101+BA115+BA120+BA129+BA138+BA150+BA162+BA186+BA223+BA230+BA260+BA293+BA302+BA306+BA313+BA318+BA329+BA195+BA199</f>
        <v>0</v>
      </c>
      <c r="BB332" s="127">
        <f>BB8+BB23+BB31+BB37+BB43+BB54+BB68+BB80+BB87+BB101+BB115+BB120+BB129+BB138+BB150+BB162+BB186+BB223+BB230+BB260+BB293+BB302+BB306+BB313+BB318+BB329+BB195+BB199</f>
        <v>4564597.26</v>
      </c>
      <c r="BD332" s="127">
        <f>BD8+BD23+BD31+BD37+BD43+BD54+BD68+BD80+BD87+BD101+BD115+BD120+BD129+BD138+BD150+BD162+BD186+BD223+BD230+BD260+BD293+BD302+BD306+BD313+BD318+BD329+BD195+BD199</f>
        <v>845803</v>
      </c>
      <c r="BE332" s="127">
        <f>BE8+BE23+BE31+BE37+BE43+BE54+BE68+BE80+BE87+BE101+BE115+BE120+BE129+BE138+BE150+BE162+BE186+BE223+BE230+BE260+BE293+BE302+BE306+BE313+BE318+BE329+BE195+BE199</f>
        <v>5410400.2599999998</v>
      </c>
      <c r="BG332" s="127">
        <f>BG8+BG23+BG31+BG37+BG43+BG54+BG68+BG80+BG87+BG101+BG115+BG120+BG129+BG138+BG150+BG162+BG186+BG223+BG230+BG260+BG293+BG302+BG306+BG313+BG318+BG329+BG195+BG199</f>
        <v>0</v>
      </c>
      <c r="BH332" s="127">
        <f>BH8+BH23+BH31+BH37+BH43+BH54+BH68+BH80+BH87+BH101+BH115+BH120+BH129+BH138+BH150+BH162+BH186+BH223+BH230+BH260+BH293+BH302+BH306+BH313+BH318+BH329+BH195+BH199</f>
        <v>5410400.2599999998</v>
      </c>
      <c r="BJ332" s="127">
        <f>BJ8+BJ23+BJ31+BJ37+BJ43+BJ54+BJ68+BJ80+BJ87+BJ101+BJ115+BJ120+BJ129+BJ138+BJ150+BJ162+BJ186+BJ223+BJ230+BJ260+BJ293+BJ302+BJ306+BJ313+BJ318+BJ329+BJ195+BJ199</f>
        <v>5053214.4800000004</v>
      </c>
      <c r="BK332" s="236">
        <f t="shared" ref="BK332:BK333" si="1570">BJ332/BH332</f>
        <v>0.93398163484488683</v>
      </c>
      <c r="BM332" s="127">
        <f>BM8+BM23+BM31+BM37+BM43+BM54+BM68+BM80+BM87+BM101+BM115+BM120+BM129+BM138+BM150+BM162+BM186+BM223+BM230+BM260+BM293+BM302+BM306+BM313+BM318+BM329+BM195+BM199+BM142</f>
        <v>7195600</v>
      </c>
      <c r="BN332" s="236">
        <f t="shared" ref="BN332" si="1571">BM332/BJ332</f>
        <v>1.4239648897705208</v>
      </c>
      <c r="BO332" s="236">
        <f t="shared" ref="BO332" si="1572">BM332/BH332</f>
        <v>1.3299570557095901</v>
      </c>
      <c r="BQ332" s="127">
        <f>BQ8+BQ23+BQ31+BQ37+BQ43+BQ54+BQ68+BQ80+BQ87+BQ101+BQ115+BQ120+BQ129+BQ138+BQ150+BQ162+BQ186+BQ223+BQ230+BQ260+BQ293+BQ302+BQ306+BQ313+BQ318+BQ329+BQ195+BQ199+BQ142+BQ197</f>
        <v>0</v>
      </c>
      <c r="BR332" s="127">
        <f>BR8+BR23+BR31+BR37+BR43+BR54+BR68+BR80+BR87+BR101+BR115+BR120+BR129+BR138+BR150+BR162+BR186+BR223+BR230+BR260+BR293+BR302+BR306+BR313+BR318+BR329+BR195+BR199+BR142+BR197</f>
        <v>7195600</v>
      </c>
      <c r="BT332" s="127">
        <f>BT8+BT23+BT31+BT37+BT43+BT54+BT68+BT80+BT87+BT101+BT115+BT120+BT129+BT138+BT150+BT162+BT186+BT223+BT230+BT260+BT293+BT302+BT306+BT313+BT318+BT329+BT195+BT199+BT142+BT197</f>
        <v>0</v>
      </c>
      <c r="BU332" s="127">
        <f>BU8+BU23+BU31+BU37+BU43+BU54+BU68+BU80+BU87+BU101+BU115+BU120+BU129+BU138+BU150+BU162+BU186+BU223+BU230+BU260+BU293+BU302+BU306+BU313+BU318+BU329+BU195+BU199+BU142+BU197</f>
        <v>7195600</v>
      </c>
      <c r="BW332" s="127">
        <f>BW8+BW23+BW31+BW37+BW43+BW54+BW68+BW80+BW87+BW101+BW115+BW120+BW129+BW138+BW150+BW162+BW186+BW223+BW230+BW260+BW293+BW302+BW306+BW313+BW318+BW329+BW195+BW199+BW142+BW197</f>
        <v>110366</v>
      </c>
      <c r="BX332" s="127">
        <f>BX8+BX23+BX31+BX37+BX43+BX54+BX68+BX80+BX87+BX101+BX115+BX120+BX129+BX138+BX150+BX162+BX186+BX223+BX230+BX260+BX293+BX302+BX306+BX313+BX318+BX329+BX195+BX199+BX142+BX197</f>
        <v>7305966</v>
      </c>
      <c r="BZ332" s="127">
        <f>BZ8+BZ23+BZ31+BZ37+BZ43+BZ54+BZ68+BZ80+BZ87+BZ101+BZ115+BZ120+BZ129+BZ138+BZ150+BZ162+BZ186+BZ223+BZ230+BZ260+BZ293+BZ302+BZ306+BZ313+BZ318+BZ329+BZ195+BZ199+BZ142+BZ197</f>
        <v>26000</v>
      </c>
      <c r="CA332" s="127">
        <f>CA8+CA23+CA31+CA37+CA43+CA54+CA68+CA80+CA87+CA101+CA115+CA120+CA129+CA138+CA150+CA162+CA186+CA223+CA230+CA260+CA293+CA302+CA306+CA313+CA318+CA329+CA195+CA199+CA142+CA197</f>
        <v>7331966</v>
      </c>
      <c r="CC332" s="127">
        <f>CC8+CC23+CC31+CC37+CC43+CC54+CC68+CC80+CC87+CC101+CC115+CC120+CC129+CC138+CC150+CC162+CC186+CC223+CC230+CC260+CC293+CC302+CC306+CC313+CC318+CC329+CC195+CC199+CC142+CC197</f>
        <v>241888.89</v>
      </c>
      <c r="CD332" s="127">
        <f>CD8+CD23+CD31+CD37+CD43+CD54+CD68+CD80+CD87+CD101+CD115+CD120+CD129+CD138+CD150+CD162+CD186+CD223+CD230+CD260+CD293+CD302+CD306+CD313+CD318+CD329+CD195+CD199+CD142+CD197</f>
        <v>7573854.8900000006</v>
      </c>
      <c r="CF332" s="127">
        <f>CF8+CF23+CF31+CF37+CF43+CF54+CF68+CF80+CF87+CF101+CF115+CF120+CF129+CF138+CF150+CF162+CF186+CF223+CF230+CF260+CF293+CF302+CF306+CF313+CF318+CF329+CF195+CF199+CF142+CF197</f>
        <v>0</v>
      </c>
      <c r="CG332" s="127">
        <f>CG8+CG23+CG31+CG37+CG43+CG54+CG68+CG80+CG87+CG101+CG115+CG120+CG129+CG138+CG150+CG162+CG186+CG223+CG230+CG260+CG293+CG302+CG306+CG313+CG318+CG329+CG195+CG199+CG142+CG197</f>
        <v>7573854.8900000006</v>
      </c>
      <c r="CI332" s="127">
        <f>CI8+CI23+CI31+CI37+CI43+CI54+CI68+CI80+CI87+CI101+CI115+CI120+CI129+CI138+CI150+CI162+CI186+CI223+CI230+CI260+CI293+CI302+CI306+CI313+CI318+CI329+CI195+CI199+CI142+CI197</f>
        <v>0</v>
      </c>
      <c r="CJ332" s="127">
        <f>CJ8+CJ23+CJ31+CJ37+CJ43+CJ54+CJ68+CJ80+CJ87+CJ101+CJ115+CJ120+CJ129+CJ138+CJ150+CJ162+CJ186+CJ223+CJ230+CJ260+CJ293+CJ302+CJ306+CJ313+CJ318+CJ329+CJ195+CJ199+CJ142+CJ197</f>
        <v>7573854.8900000006</v>
      </c>
      <c r="CL332" s="321">
        <f>CL8+CL23+CL31+CL37+CL43+CL54+CL68+CL80+CL87+CL101+CL115+CL120+CL129+CL138+CL150+CL162+CL186+CL223+CL230+CL260+CL293+CL302+CL306+CL313+CL318+CL329+CL195+CL199+CL142+CL197</f>
        <v>0</v>
      </c>
      <c r="CM332" s="127">
        <f>CM8+CM23+CM31+CM37+CM43+CM54+CM68+CM80+CM87+CM101+CM115+CM120+CM129+CM138+CM150+CM162+CM186+CM223+CM230+CM260+CM293+CM302+CM306+CM313+CM318+CM329+CM195+CM199+CM142+CM197</f>
        <v>7573854.8900000006</v>
      </c>
      <c r="CO332" s="127">
        <f>CO8+CO23+CO31+CO37+CO43+CO54+CO68+CO80+CO87+CO101+CO115+CO120+CO129+CO138+CO150+CO162+CO186+CO223+CO230+CO260+CO293+CO302+CO306+CO313+CO318+CO329+CO195+CO199+CO142+CO197</f>
        <v>152000</v>
      </c>
      <c r="CP332" s="127">
        <f>CP8+CP23+CP31+CP37+CP43+CP54+CP68+CP80+CP87+CP101+CP115+CP120+CP129+CP138+CP150+CP162+CP186+CP223+CP230+CP260+CP293+CP302+CP306+CP313+CP318+CP329+CP195+CP199+CP142+CP197</f>
        <v>7725854.8900000006</v>
      </c>
      <c r="CR332" s="127">
        <f>CR8+CR23+CR31+CR37+CR43+CR54+CR68+CR80+CR87+CR101+CR115+CR120+CR129+CR138+CR150+CR162+CR186+CR223+CR230+CR260+CR293+CR302+CR306+CR313+CR318+CR329+CR195+CR199+CR142+CR197</f>
        <v>0</v>
      </c>
      <c r="CS332" s="127">
        <f>CS8+CS23+CS31+CS37+CS43+CS54+CS68+CS80+CS87+CS101+CS115+CS120+CS129+CS138+CS150+CS162+CS186+CS223+CS230+CS260+CS293+CS302+CS306+CS313+CS318+CS329+CS195+CS199+CS142+CS197</f>
        <v>7725854.8900000006</v>
      </c>
      <c r="CU332" s="127">
        <f>CU8+CU23+CU31+CU37+CU43+CU54+CU68+CU80+CU87+CU101+CU115+CU120+CU129+CU138+CU150+CU162+CU186+CU223+CU230+CU260+CU293+CU302+CU306+CU313+CU318+CU329+CU195+CU199+CU142+CU197</f>
        <v>-246000</v>
      </c>
      <c r="CV332" s="127">
        <f>CV8+CV23+CV31+CV37+CV43+CV54+CV68+CV80+CV87+CV101+CV115+CV120+CV129+CV138+CV150+CV162+CV186+CV223+CV230+CV260+CV293+CV302+CV306+CV313+CV318+CV329+CV195+CV199+CV142+CV197</f>
        <v>7479854.8899999997</v>
      </c>
      <c r="CX332" s="127">
        <f>CX8+CX23+CX31+CX37+CX43+CX54+CX68+CX80+CX87+CX101+CX115+CX120+CX129+CX138+CX150+CX162+CX186+CX223+CX230+CX260+CX293+CX302+CX306+CX313+CX318+CX329+CX195+CX199+CX142+CX197</f>
        <v>0</v>
      </c>
      <c r="CY332" s="127">
        <f>CY8+CY23+CY31+CY37+CY43+CY54+CY68+CY80+CY87+CY101+CY115+CY120+CY129+CY138+CY150+CY162+CY186+CY223+CY230+CY260+CY293+CY302+CY306+CY313+CY318+CY329+CY195+CY199+CY142+CY197</f>
        <v>7479854.8899999997</v>
      </c>
      <c r="DA332" s="127">
        <f>DA8+DA23+DA31+DA37+DA43+DA54+DA68+DA80+DA87+DA101+DA115+DA120+DA129+DA138+DA150+DA162+DA186+DA223+DA230+DA260+DA293+DA302+DA306+DA313+DA318+DA329+DA195+DA199+DA142+DA197</f>
        <v>7594747.4400000004</v>
      </c>
      <c r="DC332" s="127">
        <f>DC8+DC23+DC31+DC37+DC43+DC54+DC68+DC80+DC87+DC101+DC115+DC120+DC129+DC138+DC150+DC162+DC186+DC223+DC230+DC260+DC293+DC302+DC306+DC313+DC318+DC329+DC195+DC199+DC142+DC197</f>
        <v>6251689.0999999996</v>
      </c>
      <c r="DE332" s="127">
        <f>DE298+DE8+DE23+DE31+DE37+DE43+DE54+DE68+DE80+DE87+DE101+DE115+DE120+DE129+DE138+DE150+DE162+DE186+DE223+DE230+DE260+DE293+DE302+DE306+DE313+DE318+DE329+DE195+DE199+DE142+DE197</f>
        <v>0</v>
      </c>
      <c r="DF332" s="127">
        <f>DF298+DF8+DF23+DF31+DF37+DF43+DF54+DF68+DF80+DF87+DF101+DF115+DF120+DF129+DF138+DF150+DF162+DF186+DF223+DF230+DF260+DF293+DF302+DF306+DF313+DF318+DF329+DF195+DF199+DF142+DF197</f>
        <v>6251689.0999999996</v>
      </c>
      <c r="DH332" s="127">
        <f>DH298+DH8+DH23+DH31+DH37+DH43+DH54+DH68+DH80+DH87+DH101+DH115+DH120+DH129+DH138+DH150+DH162+DH186+DH223+DH230+DH260+DH293+DH302+DH306+DH313+DH318+DH329+DH195+DH199+DH142+DH197</f>
        <v>57325</v>
      </c>
      <c r="DI332" s="127">
        <f>DI298+DI8+DI23+DI31+DI37+DI43+DI54+DI68+DI80+DI87+DI101+DI115+DI120+DI129+DI138+DI150+DI162+DI186+DI223+DI230+DI260+DI293+DI302+DI306+DI313+DI318+DI329+DI195+DI199+DI142+DI197</f>
        <v>6309014.0999999996</v>
      </c>
      <c r="DK332" s="127">
        <f>DK298+DK8+DK23+DK31+DK37+DK43+DK54+DK68+DK80+DK87+DK101+DK115+DK120+DK129+DK138+DK150+DK162+DK186+DK223+DK230+DK260+DK293+DK302+DK306+DK313+DK318+DK329+DK195+DK199+DK142+DK197</f>
        <v>249450</v>
      </c>
      <c r="DL332" s="127">
        <f>DL298+DL8+DL23+DL31+DL37+DL43+DL54+DL68+DL80+DL87+DL101+DL115+DL120+DL129+DL138+DL150+DL162+DL186+DL223+DL230+DL260+DL293+DL302+DL306+DL313+DL318+DL329+DL195+DL199+DL142+DL197</f>
        <v>6558464.0999999996</v>
      </c>
      <c r="DN332" s="127">
        <f>DN298+DN8+DN23+DN31+DN37+DN43+DN54+DN68+DN80+DN87+DN101+DN115+DN120+DN129+DN138+DN150+DN162+DN186+DN223+DN230+DN260+DN293+DN302+DN306+DN313+DN318+DN329+DN195+DN199+DN142+DN197</f>
        <v>0</v>
      </c>
      <c r="DO332" s="127">
        <f>DO298+DO8+DO23+DO31+DO37+DO43+DO54+DO68+DO80+DO87+DO101+DO115+DO120+DO129+DO138+DO150+DO162+DO186+DO223+DO230+DO260+DO293+DO302+DO306+DO313+DO318+DO329+DO195+DO199+DO142+DO197</f>
        <v>6558464.0999999996</v>
      </c>
      <c r="DQ332" s="127">
        <f>DQ298+DQ8+DQ23+DQ31+DQ37+DQ43+DQ54+DQ68+DQ80+DQ87+DQ101+DQ115+DQ120+DQ129+DQ138+DQ150+DQ162+DQ186+DQ223+DQ230+DQ260+DQ293+DQ302+DQ306+DQ313+DQ318+DQ329+DQ195+DQ199+DQ142+DQ197</f>
        <v>116300</v>
      </c>
      <c r="DR332" s="127">
        <f>DR298+DR8+DR23+DR31+DR37+DR43+DR54+DR68+DR80+DR87+DR101+DR115+DR120+DR129+DR138+DR150+DR162+DR186+DR223+DR230+DR260+DR293+DR302+DR306+DR313+DR318+DR329+DR195+DR199+DR142+DR197</f>
        <v>6674764.0999999996</v>
      </c>
      <c r="DT332" s="127">
        <f>DT298+DT8+DT23+DT31+DT37+DT43+DT54+DT68+DT80+DT87+DT101+DT115+DT120+DT129+DT138+DT150+DT162+DT186+DT223+DT230+DT260+DT293+DT302+DT306+DT313+DT318+DT329+DT195+DT199+DT142+DT197</f>
        <v>101900</v>
      </c>
      <c r="DU332" s="127">
        <f>DU298+DU8+DU23+DU31+DU37+DU43+DU54+DU68+DU80+DU87+DU101+DU115+DU120+DU129+DU138+DU150+DU162+DU186+DU223+DU230+DU260+DU293+DU302+DU306+DU313+DU318+DU329+DU195+DU199+DU142+DU197</f>
        <v>6776664.0999999996</v>
      </c>
      <c r="DW332" s="127">
        <f>DW298+DW8+DW23+DW31+DW37+DW43+DW54+DW68+DW80+DW87+DW101+DW115+DW120+DW129+DW138+DW150+DW162+DW186+DW223+DW230+DW260+DW293+DW302+DW306+DW313+DW318+DW329+DW195+DW199+DW142+DW197</f>
        <v>286100</v>
      </c>
      <c r="DX332" s="127">
        <f>DX298+DX8+DX23+DX31+DX37+DX43+DX54+DX68+DX80+DX87+DX101+DX115+DX120+DX129+DX138+DX150+DX162+DX186+DX223+DX230+DX260+DX293+DX302+DX306+DX313+DX318+DX329+DX195+DX199+DX142+DX197</f>
        <v>7062764.0999999996</v>
      </c>
      <c r="DZ332" s="127">
        <f>DZ298+DZ8+DZ23+DZ31+DZ37+DZ43+DZ54+DZ68+DZ80+DZ87+DZ101+DZ115+DZ120+DZ129+DZ138+DZ150+DZ162+DZ186+DZ223+DZ230+DZ260+DZ293+DZ302+DZ306+DZ313+DZ318+DZ329+DZ195+DZ199+DZ142+DZ197+DZ84</f>
        <v>0</v>
      </c>
      <c r="EA332" s="127">
        <f>EA298+EA8+EA23+EA31+EA37+EA43+EA54+EA68+EA80+EA87+EA101+EA115+EA120+EA129+EA138+EA150+EA162+EA186+EA223+EA230+EA260+EA293+EA302+EA306+EA313+EA318+EA329+EA195+EA199+EA142+EA197+EA84</f>
        <v>7062764.0999999996</v>
      </c>
      <c r="EC332" s="127">
        <f>EC298+EC8+EC23+EC31+EC37+EC43+EC54+EC68+EC80+EC87+EC101+EC115+EC120+EC129+EC138+EC150+EC162+EC186+EC223+EC230+EC260+EC293+EC302+EC306+EC313+EC318+EC329+EC195+EC199+EC142+EC197+EC84</f>
        <v>18300</v>
      </c>
      <c r="ED332" s="127">
        <f>ED298+ED8+ED23+ED31+ED37+ED43+ED54+ED68+ED80+ED87+ED101+ED115+ED120+ED129+ED138+ED150+ED162+ED186+ED223+ED230+ED260+ED293+ED302+ED306+ED313+ED318+ED329+ED195+ED199+ED142+ED197+ED84</f>
        <v>7081064.0999999996</v>
      </c>
      <c r="EF332" s="127">
        <f>EF298+EF8+EF23+EF31+EF37+EF43+EF54+EF68+EF80+EF87+EF101+EF115+EF120+EF129+EF138+EF150+EF162+EF186+EF223+EF230+EF260+EF293+EF302+EF306+EF313+EF318+EF329+EF195+EF199+EF142+EF197+EF84</f>
        <v>-3905</v>
      </c>
      <c r="EG332" s="127">
        <f>EG298+EG8+EG23+EG31+EG37+EG43+EG54+EG68+EG80+EG87+EG101+EG115+EG120+EG129+EG138+EG150+EG162+EG186+EG223+EG230+EG260+EG293+EG302+EG306+EG313+EG318+EG329+EG195+EG199+EG142+EG197+EG84</f>
        <v>7077159.0999999996</v>
      </c>
      <c r="EI332" s="127">
        <f>EI298+EI8+EI23+EI31+EI37+EI43+EI54+EI68+EI80+EI87+EI101+EI115+EI120+EI129+EI138+EI150+EI162+EI186+EI223+EI230+EI260+EI293+EI302+EI306+EI313+EI318+EI329+EI195+EI199+EI142+EI197+EI84</f>
        <v>6909647.4500000002</v>
      </c>
      <c r="EK332" s="127">
        <f>EK298+EK8+EK23+EK31+EK37+EK43+EK54+EK68+EK80+EK87+EK101+EK115+EK120+EK129+EK138+EK150+EK162+EK186+EK223+EK230+EK260+EK293+EK302+EK306+EK313+EK318+EK329+EK195+EK199+EK142+EK197+EK84</f>
        <v>5939880.0999999996</v>
      </c>
      <c r="EM332" s="127">
        <f>EM298+EM8+EM23+EM31+EM37+EM43+EM54+EM68+EM80+EM87+EM101+EM115+EM120+EM129+EM138+EM150+EM162+EM186+EM223+EM230+EM260+EM293+EM302+EM306+EM313+EM318+EM329+EM195+EM199+EM142+EM197+EM84</f>
        <v>70380</v>
      </c>
      <c r="EN332" s="127">
        <f>EN298+EN8+EN23+EN31+EN37+EN43+EN54+EN68+EN80+EN87+EN101+EN115+EN120+EN129+EN138+EN150+EN162+EN186+EN223+EN230+EN260+EN293+EN302+EN306+EN313+EN318+EN329+EN195+EN199+EN142+EN197+EN84</f>
        <v>6010260.0999999996</v>
      </c>
      <c r="EP332" s="127">
        <f>EP298+EP8+EP23+EP31+EP37+EP43+EP54+EP68+EP80+EP87+EP101+EP115+EP120+EP129+EP138+EP150+EP162+EP186+EP223+EP230+EP260+EP293+EP302+EP306+EP313+EP318+EP329+EP195+EP199+EP142+EP197+EP84</f>
        <v>182700</v>
      </c>
      <c r="EQ332" s="127">
        <f>EQ298+EQ8+EQ23+EQ31+EQ37+EQ43+EQ54+EQ68+EQ80+EQ87+EQ101+EQ115+EQ120+EQ129+EQ138+EQ150+EQ162+EQ186+EQ223+EQ230+EQ260+EQ293+EQ302+EQ306+EQ313+EQ318+EQ329+EQ195+EQ199+EQ142+EQ197+EQ84</f>
        <v>6192960.0999999996</v>
      </c>
      <c r="ES332" s="127">
        <f>ES298+ES8+ES23+ES31+ES37+ES43+ES54+ES68+ES80+ES87+ES101+ES115+ES120+ES129+ES138+ES150+ES162+ES186+ES223+ES230+ES260+ES293+ES302+ES306+ES313+ES318+ES329+ES195+ES199+ES142+ES197+ES84</f>
        <v>0</v>
      </c>
      <c r="ET332" s="127">
        <f>ET298+ET8+ET23+ET31+ET37+ET43+ET54+ET68+ET80+ET87+ET101+ET115+ET120+ET129+ET138+ET150+ET162+ET186+ET223+ET230+ET260+ET293+ET302+ET306+ET313+ET318+ET329+ET195+ET199+ET142+ET197+ET84</f>
        <v>6192960.0999999996</v>
      </c>
      <c r="EV332" s="127">
        <f>EV298+EV8+EV23+EV31+EV37+EV43+EV54+EV68+EV80+EV87+EV101+EV115+EV120+EV129+EV138+EV150+EV162+EV186+EV223+EV230+EV260+EV293+EV302+EV306+EV313+EV318+EV329+EV195+EV199+EV142+EV197+EV84</f>
        <v>0</v>
      </c>
      <c r="EW332" s="127">
        <f>EW298+EW8+EW23+EW31+EW37+EW43+EW54+EW68+EW80+EW87+EW101+EW115+EW120+EW129+EW138+EW150+EW162+EW186+EW223+EW230+EW260+EW293+EW302+EW306+EW313+EW318+EW329+EW195+EW199+EW142+EW197+EW84</f>
        <v>6192960.0999999996</v>
      </c>
      <c r="EY332" s="127">
        <f>EY298+EY8+EY23+EY31+EY37+EY43+EY54+EY68+EY80+EY87+EY101+EY115+EY120+EY129+EY138+EY150+EY162+EY186+EY223+EY230+EY260+EY293+EY302+EY306+EY313+EY318+EY329+EY195+EY199+EY142+EY197+EY84+EY10</f>
        <v>0</v>
      </c>
      <c r="EZ332" s="127">
        <f>EZ298+EZ8+EZ23+EZ31+EZ37+EZ43+EZ54+EZ68+EZ80+EZ87+EZ101+EZ115+EZ120+EZ129+EZ138+EZ150+EZ162+EZ186+EZ223+EZ230+EZ260+EZ293+EZ302+EZ306+EZ313+EZ318+EZ329+EZ195+EZ199+EZ142+EZ197+EZ84+EZ10</f>
        <v>6192960.0999999996</v>
      </c>
      <c r="FB332" s="127">
        <f>FB298+FB8+FB23+FB31+FB37+FB43+FB54+FB68+FB80+FB87+FB101+FB115+FB120+FB129+FB138+FB150+FB162+FB186+FB223+FB230+FB260+FB293+FB302+FB306+FB313+FB318+FB329+FB195+FB199+FB142+FB197+FB84+FB10</f>
        <v>-13000</v>
      </c>
      <c r="FC332" s="127">
        <f>FC298+FC8+FC23+FC31+FC37+FC43+FC54+FC68+FC80+FC87+FC101+FC115+FC120+FC129+FC138+FC150+FC162+FC186+FC223+FC230+FC260+FC293+FC302+FC306+FC313+FC318+FC329+FC195+FC199+FC142+FC197+FC84+FC10</f>
        <v>6179960.0999999996</v>
      </c>
      <c r="FE332" s="127">
        <f>FE298+FE8+FE23+FE31+FE37+FE43+FE54+FE68+FE80+FE87+FE101+FE115+FE120+FE129+FE138+FE150+FE162+FE186+FE223+FE230+FE260+FE293+FE302+FE306+FE313+FE318+FE329+FE195+FE199+FE142+FE197+FE84+FE10</f>
        <v>0</v>
      </c>
      <c r="FF332" s="127">
        <f>FF298+FF8+FF23+FF31+FF37+FF43+FF54+FF68+FF80+FF87+FF101+FF115+FF120+FF129+FF138+FF150+FF162+FF186+FF223+FF230+FF260+FF293+FF302+FF306+FF313+FF318+FF329+FF195+FF199+FF142+FF197+FF84+FF10</f>
        <v>6156460.0999999996</v>
      </c>
      <c r="FH332" s="127">
        <f>FH298+FH8+FH23+FH31+FH37+FH43+FH54+FH68+FH80+FH87+FH101+FH115+FH120+FH129+FH138+FH150+FH162+FH186+FH223+FH230+FH260+FH293+FH302+FH306+FH313+FH318+FH329+FH195+FH199+FH142+FH197+FH84+FH10</f>
        <v>0</v>
      </c>
      <c r="FI332" s="127">
        <f>FI298+FI8+FI23+FI31+FI37+FI43+FI54+FI68+FI80+FI87+FI101+FI115+FI120+FI129+FI138+FI150+FI162+FI186+FI223+FI230+FI260+FI293+FI302+FI306+FI313+FI318+FI329+FI195+FI199+FI142+FI197+FI84+FI10</f>
        <v>6179960.0999999996</v>
      </c>
      <c r="FK332" s="127">
        <f>FK298+FK8+FK23+FK31+FK37+FK43+FK54+FK68+FK80+FK87+FK101+FK115+FK120+FK129+FK138+FK150+FK162+FK186+FK223+FK230+FK260+FK293+FK302+FK306+FK313+FK318+FK329+FK195+FK199+FK142+FK197+FK84+FK10</f>
        <v>-91519</v>
      </c>
      <c r="FL332" s="127">
        <f>FL298+FL8+FL23+FL31+FL37+FL43+FL54+FL68+FL80+FL87+FL101+FL115+FL120+FL129+FL138+FL150+FL162+FL186+FL223+FL230+FL260+FL293+FL302+FL306+FL313+FL318+FL329+FL195+FL199+FL142+FL197+FL84+FL10</f>
        <v>6088441.0999999996</v>
      </c>
      <c r="FN332" s="127">
        <f>FN298+FN8+FN23+FN31+FN37+FN43+FN54+FN68+FN80+FN87+FN101+FN115+FN120+FN129+FN138+FN150+FN162+FN186+FN223+FN230+FN260+FN293+FN302+FN306+FN313+FN318+FN329+FN195+FN199+FN142+FN197+FN84+FN10</f>
        <v>0</v>
      </c>
      <c r="FO332" s="127">
        <f>FO298+FO8+FO23+FO31+FO37+FO43+FO54+FO68+FO80+FO87+FO101+FO115+FO120+FO129+FO138+FO150+FO162+FO186+FO223+FO230+FO260+FO293+FO302+FO306+FO313+FO318+FO329+FO195+FO199+FO142+FO197+FO84+FO10</f>
        <v>6088441.0999999996</v>
      </c>
      <c r="FQ332" s="127">
        <v>0</v>
      </c>
      <c r="FR332" s="127">
        <v>6088441.0999999996</v>
      </c>
      <c r="FT332" s="127">
        <f>FT298+FT8+FT23+FT31+FT37+FT43+FT54+FT68+FT80+FT87+FT101+FT115+FT120+FT129+FT138+FT150+FT162+FT186+FT223+FT230+FT260+FT293+FT302+FT306+FT313+FT318+FT329+FT195+FT199+FT142+FT197+FT84+FT10</f>
        <v>5823835.5100000016</v>
      </c>
      <c r="FV332" s="127">
        <f>FV298+FV8+FV23+FV31+FV37+FV43+FV54+FV68+FV80+FV87+FV101+FV115+FV120+FV129+FV138+FV150+FV162+FV186+FV223+FV230+FV260+FV293+FV302+FV306+FV313+FV318+FV329+FV195+FV199+FV142+FV197+FV84+FV10</f>
        <v>5989469.4000000004</v>
      </c>
      <c r="FW332" s="235">
        <f t="shared" ref="FW332:FW333" si="1573">FV332/FT332</f>
        <v>1.0284406882226655</v>
      </c>
    </row>
    <row r="333" spans="1:179" ht="16.5" thickTop="1" thickBot="1">
      <c r="A333" s="71"/>
      <c r="B333" s="72" t="s">
        <v>357</v>
      </c>
      <c r="C333" s="287" t="s">
        <v>318</v>
      </c>
      <c r="D333" s="73">
        <f>D24+D81+D102+D116+D130+D139+D187+D224+D294</f>
        <v>895000</v>
      </c>
      <c r="E333" s="74"/>
      <c r="F333" s="73">
        <f>F24+F81+F102+F116+F130+F139+F187+F224+F294</f>
        <v>777393</v>
      </c>
      <c r="G333" s="74"/>
      <c r="H333" s="73"/>
      <c r="I333" s="73">
        <f>I24+I81+I102+I116+I130+I139+I187+I224+I294</f>
        <v>159585</v>
      </c>
      <c r="J333" s="71"/>
      <c r="K333" s="71"/>
      <c r="L333" s="128">
        <f>L24+L81+L102+L116+L130+L139+L187+L224+L294</f>
        <v>446000</v>
      </c>
      <c r="M333" s="70">
        <f>L333/F333-1</f>
        <v>-0.42628760485365835</v>
      </c>
      <c r="N333" s="70">
        <f>L333/I333-1</f>
        <v>1.7947488799072593</v>
      </c>
      <c r="Q333" s="128">
        <f>Q24+Q81+Q102+Q116+Q130+Q139+Q187+Q224+Q294</f>
        <v>810000</v>
      </c>
      <c r="R333" s="128">
        <f>R24+R81+R102+R116+R130+R139+R187+R224+R294</f>
        <v>621154</v>
      </c>
      <c r="S333" s="128">
        <f>S24+S81+S102+S116+S130+S139+S187+S224+S294</f>
        <v>874000</v>
      </c>
      <c r="T333" s="128">
        <f>T24+T81+T102+T116+T130+T139+T187+T224+T294</f>
        <v>64000</v>
      </c>
      <c r="U333" s="155">
        <f>S333/Q333-1</f>
        <v>7.9012345679012386E-2</v>
      </c>
      <c r="Y333" s="128">
        <f>Y24+Y81+Y102+Y116+Y130+Y139+Y187+Y224+Y294</f>
        <v>874000</v>
      </c>
      <c r="Z333" s="128"/>
      <c r="AA333" s="128">
        <f>AA24+AA81+AA102+AA116+AA130+AA139+AA187+AA224+AA294</f>
        <v>903850</v>
      </c>
      <c r="AB333" s="128">
        <f>AB24+AB81+AB102+AB116+AB130+AB139+AB187+AB224+AB294</f>
        <v>29850</v>
      </c>
      <c r="AE333" s="128">
        <f>AE24+AE81+AE102+AE116+AE130+AE139+AE187+AE224+AE294</f>
        <v>935250</v>
      </c>
      <c r="AH333" s="128">
        <f>AH24+AH81+AH102+AH116+AH130+AH139+AH187+AH224+AH294</f>
        <v>897748.58000000007</v>
      </c>
      <c r="AI333" s="17">
        <f t="shared" si="1566"/>
        <v>0.95990225073509761</v>
      </c>
      <c r="AK333" s="128">
        <f>AK24+AK81+AK102+AK116+AK130+AK139+AK187+AK224+AK294</f>
        <v>400000</v>
      </c>
      <c r="AL333" s="193">
        <f t="shared" si="1567"/>
        <v>0.89686098654708524</v>
      </c>
      <c r="AM333" s="17">
        <f t="shared" si="1568"/>
        <v>0.42769313017909649</v>
      </c>
      <c r="AN333" s="17">
        <f t="shared" si="1569"/>
        <v>0.44555904505022997</v>
      </c>
      <c r="AR333" s="128">
        <f>AR24+AR81+AR102+AR116+AR130+AR139+AR187+AR224+AR294</f>
        <v>0</v>
      </c>
      <c r="AS333" s="128">
        <f>AS24+AS81+AS102+AS116+AS130+AS139+AS187+AS224+AS294</f>
        <v>400000</v>
      </c>
      <c r="AU333" s="128">
        <f>AU24+AU81+AU102+AU116+AU130+AU139+AU187+AU224+AU294</f>
        <v>0</v>
      </c>
      <c r="AV333" s="128">
        <f>AV24+AV81+AV102+AV116+AV130+AV139+AV187+AV224+AV294</f>
        <v>400000</v>
      </c>
      <c r="AX333" s="128">
        <f>AX24+AX81+AX102+AX116+AX130+AX139+AX187+AX224+AX294</f>
        <v>49297.26</v>
      </c>
      <c r="AY333" s="128">
        <f>AY24+AY81+AY102+AY116+AY130+AY139+AY187+AY224+AY294</f>
        <v>449297.26</v>
      </c>
      <c r="BA333" s="128">
        <f>BA24+BA81+BA102+BA116+BA130+BA139+BA187+BA224+BA294</f>
        <v>0</v>
      </c>
      <c r="BB333" s="128">
        <f>BB24+BB81+BB102+BB116+BB130+BB139+BB187+BB224+BB294</f>
        <v>449297.26</v>
      </c>
      <c r="BD333" s="128">
        <f>BD24+BD81+BD102+BD116+BD130+BD139+BD187+BD224+BD294</f>
        <v>491203</v>
      </c>
      <c r="BE333" s="128">
        <f>BE24+BE81+BE102+BE116+BE130+BE139+BE187+BE224+BE294</f>
        <v>940500.26</v>
      </c>
      <c r="BG333" s="128">
        <f>BG24+BG81+BG102+BG116+BG130+BG139+BG187+BG224+BG294</f>
        <v>0</v>
      </c>
      <c r="BH333" s="128">
        <f>BH24+BH81+BH102+BH116+BH130+BH139+BH187+BH224+BH294</f>
        <v>940500.26</v>
      </c>
      <c r="BJ333" s="128">
        <f>BJ24+BJ81+BJ102+BJ116+BJ130+BJ139+BJ187+BJ224+BJ294</f>
        <v>891391.18000000017</v>
      </c>
      <c r="BK333" s="236">
        <f t="shared" si="1570"/>
        <v>0.94778408673698844</v>
      </c>
      <c r="BM333" s="243">
        <f>BM24+BM81+BM102+BM116+BM130+BM139+BM187+BM224+BM294</f>
        <v>2002000</v>
      </c>
      <c r="BN333" s="236">
        <f t="shared" ref="BN333:BN337" si="1574">BM333/BJ333</f>
        <v>2.2459275399157526</v>
      </c>
      <c r="BO333" s="236">
        <f t="shared" ref="BO333:BO337" si="1575">BM333/BH333</f>
        <v>2.1286543822965025</v>
      </c>
      <c r="BQ333" s="243">
        <f>BQ24+BQ81+BQ102+BQ116+BQ130+BQ139+BQ187+BQ224+BQ294</f>
        <v>0</v>
      </c>
      <c r="BR333" s="243">
        <f>BR24+BR81+BR102+BR116+BR130+BR139+BR187+BR224+BR294</f>
        <v>2002000</v>
      </c>
      <c r="BT333" s="243">
        <f>BT24+BT81+BT102+BT116+BT130+BT139+BT187+BT224+BT294</f>
        <v>0</v>
      </c>
      <c r="BU333" s="243">
        <f>BU24+BU81+BU102+BU116+BU130+BU139+BU187+BU224+BU294</f>
        <v>2002000</v>
      </c>
      <c r="BW333" s="243">
        <f>BW24+BW81+BW102+BW116+BW130+BW139+BW187+BW224+BW294</f>
        <v>220000</v>
      </c>
      <c r="BX333" s="243">
        <f>BX24+BX81+BX102+BX116+BX130+BX139+BX187+BX224+BX294</f>
        <v>2222000</v>
      </c>
      <c r="BZ333" s="243">
        <f>BZ24+BZ81+BZ102+BZ116+BZ130+BZ139+BZ187+BZ224+BZ294</f>
        <v>1000</v>
      </c>
      <c r="CA333" s="243">
        <f>CA24+CA81+CA102+CA116+CA130+CA139+CA187+CA224+CA294</f>
        <v>2223000</v>
      </c>
      <c r="CC333" s="243">
        <f>CC24+CC81+CC102+CC116+CC130+CC139+CC187+CC224+CC294</f>
        <v>0</v>
      </c>
      <c r="CD333" s="243">
        <f>CD24+CD81+CD102+CD116+CD130+CD139+CD187+CD224+CD294</f>
        <v>2223000</v>
      </c>
      <c r="CF333" s="243">
        <f>CF24+CF81+CF102+CF116+CF130+CF139+CF187+CF224+CF294</f>
        <v>0</v>
      </c>
      <c r="CG333" s="243">
        <f>CG24+CG81+CG102+CG116+CG130+CG139+CG187+CG224+CG294</f>
        <v>2223000</v>
      </c>
      <c r="CI333" s="243">
        <f>CI24+CI81+CI102+CI116+CI130+CI139+CI187+CI224+CI294</f>
        <v>0</v>
      </c>
      <c r="CJ333" s="243">
        <f>CJ24+CJ81+CJ102+CJ116+CJ130+CJ139+CJ187+CJ224+CJ294</f>
        <v>2223000</v>
      </c>
      <c r="CL333" s="322">
        <f>CL24+CL81+CL102+CL116+CL130+CL139+CL187+CL224+CL294</f>
        <v>0</v>
      </c>
      <c r="CM333" s="243">
        <f>CM24+CM81+CM102+CM116+CM130+CM139+CM187+CM224+CM294</f>
        <v>2223000</v>
      </c>
      <c r="CO333" s="243">
        <f>CO24+CO81+CO102+CO116+CO130+CO139+CO187+CO224+CO294</f>
        <v>0</v>
      </c>
      <c r="CP333" s="243">
        <f>CP24+CP81+CP102+CP116+CP130+CP139+CP187+CP224+CP294</f>
        <v>2223000</v>
      </c>
      <c r="CR333" s="243">
        <f>CR24+CR81+CR102+CR116+CR130+CR139+CR187+CR224+CR294</f>
        <v>0</v>
      </c>
      <c r="CS333" s="243">
        <f>CS24+CS81+CS102+CS116+CS130+CS139+CS187+CS224+CS294</f>
        <v>2223000</v>
      </c>
      <c r="CU333" s="243">
        <f>CU24+CU81+CU102+CU116+CU130+CU139+CU187+CU224+CU294</f>
        <v>-106000</v>
      </c>
      <c r="CV333" s="243">
        <f>CV24+CV81+CV102+CV116+CV130+CV139+CV187+CV224+CV294</f>
        <v>2117000</v>
      </c>
      <c r="CX333" s="243">
        <f>CX24+CX81+CX102+CX116+CX130+CX139+CX187+CX224+CX294</f>
        <v>0</v>
      </c>
      <c r="CY333" s="243">
        <f>CY24+CY81+CY102+CY116+CY130+CY139+CY187+CY224+CY294</f>
        <v>2117000</v>
      </c>
      <c r="DA333" s="243">
        <f>DA24+DA81+DA102+DA116+DA130+DA139+DA187+DA224+DA294</f>
        <v>2115232.5699999998</v>
      </c>
      <c r="DC333" s="243">
        <f>DC24+DC81+DC102+DC116+DC130+DC139+DC187+DC224+DC294</f>
        <v>247048</v>
      </c>
      <c r="DE333" s="243">
        <f>DE24+DE81+DE102+DE116+DE130+DE139+DE187+DE224+DE294</f>
        <v>0</v>
      </c>
      <c r="DF333" s="128">
        <f>DF24+DF81+DF102+DF116+DF130+DF139+DF187+DF224+DF294</f>
        <v>247048</v>
      </c>
      <c r="DH333" s="243">
        <f>DH24+DH81+DH102+DH116+DH130+DH139+DH187+DH224+DH294</f>
        <v>0</v>
      </c>
      <c r="DI333" s="128">
        <f>DI24+DI81+DI102+DI116+DI130+DI139+DI187+DI224+DI294</f>
        <v>247048</v>
      </c>
      <c r="DK333" s="243">
        <f>DK24+DK81+DK102+DK116+DK130+DK139+DK187+DK224+DK294</f>
        <v>0</v>
      </c>
      <c r="DL333" s="128">
        <f>DL24+DL81+DL102+DL116+DL130+DL139+DL187+DL224+DL294</f>
        <v>247048</v>
      </c>
      <c r="DN333" s="243">
        <f>DN24+DN81+DN102+DN116+DN130+DN139+DN187+DN224+DN294</f>
        <v>-8000</v>
      </c>
      <c r="DO333" s="128">
        <f>DO24+DO81+DO102+DO116+DO130+DO139+DO187+DO224+DO294</f>
        <v>239048</v>
      </c>
      <c r="DQ333" s="243">
        <f>DQ24+DQ81+DQ102+DQ116+DQ130+DQ139+DQ187+DQ224+DQ294</f>
        <v>77000</v>
      </c>
      <c r="DR333" s="128">
        <f>DR24+DR81+DR102+DR116+DR130+DR139+DR187+DR224+DR294</f>
        <v>316048</v>
      </c>
      <c r="DT333" s="243">
        <f>DT24+DT81+DT102+DT116+DT130+DT139+DT187+DT224+DT294</f>
        <v>5000</v>
      </c>
      <c r="DU333" s="128">
        <f>DU24+DU81+DU102+DU116+DU130+DU139+DU187+DU224+DU294</f>
        <v>321048</v>
      </c>
      <c r="DW333" s="243">
        <f>DW24+DW81+DW102+DW116+DW130+DW139+DW187+DW224+DW294</f>
        <v>0</v>
      </c>
      <c r="DX333" s="128">
        <f>DX24+DX81+DX102+DX116+DX130+DX139+DX187+DX224+DX294</f>
        <v>321048</v>
      </c>
      <c r="DZ333" s="243">
        <f>DZ24+DZ81+DZ102+DZ116+DZ130+DZ139+DZ187+DZ224+DZ294+DZ83</f>
        <v>30000</v>
      </c>
      <c r="EA333" s="243">
        <f>EA24+EA81+EA102+EA116+EA130+EA139+EA187+EA224+EA294+EA83</f>
        <v>351048</v>
      </c>
      <c r="EC333" s="243">
        <f>EC24+EC81+EC102+EC116+EC130+EC139+EC187+EC224+EC294+EC83</f>
        <v>-6090</v>
      </c>
      <c r="ED333" s="243">
        <f>ED24+ED81+ED102+ED116+ED130+ED139+ED187+ED224+ED294+ED83</f>
        <v>344958</v>
      </c>
      <c r="EF333" s="243">
        <f>EF24+EF81+EF102+EF116+EF130+EF139+EF187+EF224+EF294+EF83</f>
        <v>7980</v>
      </c>
      <c r="EG333" s="243">
        <f>EG24+EG81+EG102+EG116+EG130+EG139+EG187+EG224+EG294+EG83</f>
        <v>352938</v>
      </c>
      <c r="EI333" s="243">
        <f>EI24+EI81+EI102+EI116+EI130+EI139+EI187+EI224+EI294+EI83</f>
        <v>349820.73</v>
      </c>
      <c r="EK333" s="243">
        <f>EK24+EK81+EK102+EK116+EK130+EK139+EK187+EK224+EK294+EK83</f>
        <v>565000</v>
      </c>
      <c r="EM333" s="243">
        <f>EM24+EM81+EM102+EM116+EM130+EM139+EM187+EM224+EM294+EM83</f>
        <v>0</v>
      </c>
      <c r="EN333" s="243">
        <f>EN24+EN81+EN102+EN116+EN130+EN139+EN187+EN224+EN294+EN83</f>
        <v>565000</v>
      </c>
      <c r="EP333" s="243">
        <f>EP24+EP81+EP102+EP116+EP130+EP139+EP187+EP224+EP294+EP83</f>
        <v>50000</v>
      </c>
      <c r="EQ333" s="243">
        <f>EQ24+EQ81+EQ102+EQ116+EQ130+EQ139+EQ187+EQ224+EQ294+EQ83</f>
        <v>615000</v>
      </c>
      <c r="ES333" s="243">
        <f>ES24+ES81+ES102+ES116+ES130+ES139+ES187+ES224+ES294+ES83</f>
        <v>0</v>
      </c>
      <c r="ET333" s="243">
        <f>ET24+ET81+ET102+ET116+ET130+ET139+ET187+ET224+ET294+ET83</f>
        <v>615000</v>
      </c>
      <c r="EV333" s="243">
        <f>EV24+EV81+EV102+EV116+EV130+EV139+EV187+EV224+EV294+EV83</f>
        <v>70000</v>
      </c>
      <c r="EW333" s="243">
        <f>EW24+EW81+EW102+EW116+EW130+EW139+EW187+EW224+EW294+EW83</f>
        <v>685000</v>
      </c>
      <c r="EY333" s="243">
        <f>EY24+EY81+EY102+EY116+EY130+EY139+EY187+EY224+EY294+EY83</f>
        <v>-10200</v>
      </c>
      <c r="EZ333" s="243">
        <f>EZ24+EZ81+EZ102+EZ116+EZ130+EZ139+EZ187+EZ224+EZ294+EZ83</f>
        <v>674800</v>
      </c>
      <c r="FB333" s="243">
        <f>FB24+FB81+FB102+FB116+FB130+FB139+FB187+FB224+FB294+FB83+FB39</f>
        <v>-24000</v>
      </c>
      <c r="FC333" s="243">
        <f>FC24+FC81+FC102+FC116+FC130+FC139+FC187+FC224+FC294+FC83</f>
        <v>634800</v>
      </c>
      <c r="FE333" s="243">
        <f>FE24+FE81+FE102+FE116+FE130+FE139+FE187+FE224+FE294+FE83+FE39</f>
        <v>0</v>
      </c>
      <c r="FF333" s="243">
        <f>FF24+FF81+FF102+FF116+FF130+FF139+FF187+FF224+FF294+FF83</f>
        <v>634800</v>
      </c>
      <c r="FH333" s="243">
        <f>FH24+FH81+FH102+FH116+FH130+FH139+FH187+FH224+FH294+FH83+FH39</f>
        <v>0</v>
      </c>
      <c r="FI333" s="243">
        <f>FI24+FI81+FI102+FI116+FI130+FI139+FI187+FI224+FI294+FI83</f>
        <v>634800</v>
      </c>
      <c r="FK333" s="243">
        <f>FK24+FK81+FK102+FK116+FK130+FK139+FK187+FK224+FK294+FK83</f>
        <v>-47000</v>
      </c>
      <c r="FL333" s="243">
        <f>FL24+FL81+FL102+FL116+FL130+FL139+FL187+FL224+FL294+FL83</f>
        <v>587800</v>
      </c>
      <c r="FN333" s="243">
        <f>FN24+FN81+FN102+FN116+FN130+FN139+FN187+FN224+FN294+FN83</f>
        <v>-12800</v>
      </c>
      <c r="FO333" s="243">
        <f>FO24+FO81+FO102+FO116+FO130+FO139+FO187+FO224+FO294+FO83</f>
        <v>575000</v>
      </c>
      <c r="FQ333" s="243">
        <v>-11840</v>
      </c>
      <c r="FR333" s="243">
        <v>563160</v>
      </c>
      <c r="FT333" s="243">
        <f>FT24+FT81+FT102+FT116+FT130+FT139+FT187+FT224+FT294+FT83</f>
        <v>512195.08</v>
      </c>
      <c r="FV333" s="243">
        <f>FV24+FV81+FV102+FV116+FV130+FV139+FV187+FV224+FV294+FV83</f>
        <v>750000</v>
      </c>
      <c r="FW333" s="235">
        <f t="shared" si="1573"/>
        <v>1.4642858342176968</v>
      </c>
    </row>
    <row r="334" spans="1:179" ht="15.75" thickTop="1">
      <c r="Y334" s="118"/>
      <c r="Z334" s="118"/>
      <c r="AH334" s="118"/>
      <c r="AL334" s="118"/>
      <c r="AR334" s="118"/>
      <c r="AS334" s="118"/>
      <c r="AU334" s="118"/>
      <c r="AV334" s="118"/>
      <c r="AX334" s="118"/>
      <c r="AY334" s="118"/>
      <c r="BA334" s="118"/>
      <c r="BB334" s="118"/>
      <c r="BD334" s="118"/>
      <c r="BE334" s="118"/>
      <c r="BG334" s="118"/>
      <c r="BH334" s="118"/>
      <c r="BJ334" s="118"/>
      <c r="BM334" s="118"/>
      <c r="BN334" s="235"/>
      <c r="BO334" s="235"/>
      <c r="BQ334" s="118"/>
      <c r="BR334" s="118"/>
      <c r="BT334" s="118"/>
      <c r="BU334" s="118"/>
      <c r="BW334" s="118"/>
      <c r="BX334" s="118"/>
      <c r="BZ334" s="118"/>
      <c r="CA334" s="118"/>
      <c r="CC334" s="118"/>
      <c r="CD334" s="118"/>
      <c r="CF334" s="118"/>
      <c r="CG334" s="118"/>
      <c r="CI334" s="118"/>
      <c r="CJ334" s="118"/>
      <c r="CL334" s="118"/>
      <c r="CM334" s="118"/>
      <c r="CO334" s="118"/>
      <c r="CP334" s="118"/>
      <c r="CR334" s="118"/>
      <c r="CS334" s="118"/>
      <c r="CU334" s="118"/>
      <c r="CV334" s="118"/>
      <c r="CX334" s="118"/>
      <c r="CY334" s="118"/>
      <c r="DA334" s="118"/>
      <c r="DC334" s="118"/>
      <c r="DE334" s="118"/>
      <c r="DF334" s="118"/>
      <c r="DG334" t="s">
        <v>463</v>
      </c>
      <c r="DH334" s="118"/>
      <c r="DI334" s="118"/>
      <c r="DK334" s="118"/>
      <c r="DL334" s="118"/>
      <c r="DN334" s="118"/>
      <c r="DO334" s="118"/>
      <c r="DQ334" s="118"/>
      <c r="DR334" s="118"/>
      <c r="DT334" s="118"/>
      <c r="DU334" s="118"/>
      <c r="DW334" s="118"/>
      <c r="DX334" s="118"/>
      <c r="DZ334" s="118"/>
      <c r="EA334" s="118"/>
      <c r="EC334" s="118"/>
      <c r="ED334" s="118"/>
      <c r="EF334" s="118"/>
      <c r="EG334" s="118"/>
      <c r="EI334" s="118"/>
      <c r="EK334" s="118"/>
      <c r="EM334" s="118"/>
      <c r="EN334" s="118"/>
      <c r="EP334" s="118"/>
      <c r="EQ334" s="118"/>
      <c r="ES334" s="118"/>
      <c r="ET334" s="118"/>
      <c r="EV334" s="118"/>
      <c r="EW334" s="118"/>
      <c r="EY334" s="118"/>
      <c r="EZ334" s="118"/>
      <c r="FB334" s="118"/>
      <c r="FC334" s="118"/>
      <c r="FE334" s="118"/>
      <c r="FF334" s="118"/>
      <c r="FH334" s="118"/>
      <c r="FI334" s="118"/>
      <c r="FK334" s="118"/>
      <c r="FL334" s="118"/>
      <c r="FN334" s="118"/>
      <c r="FO334" s="118"/>
      <c r="FQ334" s="118"/>
      <c r="FR334" s="118"/>
      <c r="FT334" s="118"/>
      <c r="FV334" s="118"/>
    </row>
    <row r="335" spans="1:179" ht="15.75" thickBot="1">
      <c r="A335" s="77"/>
      <c r="B335" s="77" t="s">
        <v>277</v>
      </c>
      <c r="C335" s="285" t="s">
        <v>319</v>
      </c>
      <c r="D335" s="82">
        <f>D225+D188+D163+D151+D131+D121+D25</f>
        <v>900000</v>
      </c>
      <c r="E335" s="83"/>
      <c r="F335" s="82">
        <f>F225+F188+F163+F151+F131+F121+F25</f>
        <v>470400</v>
      </c>
      <c r="G335" s="83"/>
      <c r="H335" s="82"/>
      <c r="I335" s="82">
        <f>I225+I188+I163+I151+I131+I121+I25</f>
        <v>624582.71</v>
      </c>
      <c r="J335" s="77"/>
      <c r="K335" s="77"/>
      <c r="L335" s="129">
        <f>L225+L188+L163+L151+L131+L121+L25</f>
        <v>1760000</v>
      </c>
      <c r="M335" s="81">
        <f>L335/F335-1</f>
        <v>2.7414965986394559</v>
      </c>
      <c r="N335" s="81">
        <f>L335/I335-1</f>
        <v>1.8178813979656914</v>
      </c>
      <c r="Q335" s="129">
        <f>Q225+Q188+Q163+Q151+Q131+Q121+Q25</f>
        <v>1808000</v>
      </c>
      <c r="R335" s="129">
        <f>R225+R188+R163+R151+R131+R121+R25</f>
        <v>264855</v>
      </c>
      <c r="S335" s="129">
        <f>S225+S188+S163+S151+S131+S121+S25</f>
        <v>1348500</v>
      </c>
      <c r="T335" s="129">
        <f>T225+T188+T163+T151+T131+T121+T25</f>
        <v>-459500</v>
      </c>
      <c r="Y335" s="129">
        <f>Y295+Y225+Y188+Y163+Y151+Y131+Y121+Y25</f>
        <v>1356500</v>
      </c>
      <c r="Z335" s="129"/>
      <c r="AA335" s="129">
        <f>AA295+AA225+AA188+AA163+AA151+AA131+AA121+AA25</f>
        <v>1365610</v>
      </c>
      <c r="AB335" s="129">
        <f>AB295+AB225+AB188+AB163+AB151+AB131+AB121+AB25</f>
        <v>9110</v>
      </c>
      <c r="AE335" s="129">
        <f>AE295+AE225+AE188+AE163+AE151+AE131+AE121+AE25</f>
        <v>1365610</v>
      </c>
      <c r="AF335" s="15"/>
      <c r="AH335" s="129">
        <f>AH295+AH225+AH188+AH163+AH151+AH131+AH121+AH25</f>
        <v>1363785.12</v>
      </c>
      <c r="AI335" s="17">
        <f t="shared" ref="AI335" si="1576">AH335/AE335</f>
        <v>0.99866368875447609</v>
      </c>
      <c r="AK335" s="129">
        <f>AK295+AK225+AK188+AK163+AK151+AK131+AK121+AK25</f>
        <v>564000</v>
      </c>
      <c r="AL335" s="193">
        <f>AK335/L335</f>
        <v>0.32045454545454544</v>
      </c>
      <c r="AM335" s="17">
        <f>AK335/AE335</f>
        <v>0.41300224807961278</v>
      </c>
      <c r="AN335" s="17">
        <f>AK335/AH335</f>
        <v>0.41355488612458241</v>
      </c>
      <c r="AR335" s="129">
        <f>AR295+AR225+AR188+AR163+AR151+AR131+AR121+AR25</f>
        <v>0</v>
      </c>
      <c r="AS335" s="129">
        <f>AS295+AS225+AS188+AS163+AS151+AS131+AS121+AS25</f>
        <v>564000</v>
      </c>
      <c r="AU335" s="129">
        <f>AU295+AU225+AU188+AU163+AU151+AU131+AU121+AU25</f>
        <v>0</v>
      </c>
      <c r="AV335" s="129">
        <f>AV295+AV225+AV188+AV163+AV151+AV131+AV121+AV25</f>
        <v>564000</v>
      </c>
      <c r="AX335" s="129">
        <f>AX295+AX225+AX188+AX163+AX151+AX131+AX121+AX25</f>
        <v>0</v>
      </c>
      <c r="AY335" s="129">
        <f>AY295+AY225+AY188+AY163+AY151+AY131+AY121+AY25</f>
        <v>564000</v>
      </c>
      <c r="BA335" s="129">
        <f>BA295+BA225+BA188+BA163+BA151+BA131+BA121+BA25</f>
        <v>0</v>
      </c>
      <c r="BB335" s="129">
        <f>BB295+BB225+BB188+BB163+BB151+BB131+BB121+BB25</f>
        <v>564000</v>
      </c>
      <c r="BD335" s="129">
        <f>BD295+BD225+BD188+BD163+BD151+BD131+BD121+BD25</f>
        <v>-416900</v>
      </c>
      <c r="BE335" s="129">
        <f>BE295+BE225+BE188+BE163+BE151+BE131+BE121+BE25</f>
        <v>147100</v>
      </c>
      <c r="BG335" s="129">
        <f>BG295+BG225+BG188+BG163+BG151+BG131+BG121+BG25+BG140</f>
        <v>0</v>
      </c>
      <c r="BH335" s="129">
        <f>BH295+BH225+BH188+BH163+BH151+BH131+BH121+BH25+BH140</f>
        <v>147100</v>
      </c>
      <c r="BJ335" s="129">
        <f>BJ295+BJ225+BJ188+BJ163+BJ151+BJ131+BJ121+BJ25+BJ140</f>
        <v>146088</v>
      </c>
      <c r="BK335" s="237">
        <f t="shared" ref="BK335" si="1577">BJ335/BH335</f>
        <v>0.99312032630863356</v>
      </c>
      <c r="BM335" s="129">
        <f>BM295+BM225+BM188+BM163+BM151+BM131+BM121+BM25+BM143</f>
        <v>2057900</v>
      </c>
      <c r="BN335" s="237">
        <f t="shared" ref="BN335" si="1578">BM335/BJ335</f>
        <v>14.086714856798642</v>
      </c>
      <c r="BO335" s="237">
        <f t="shared" ref="BO335" si="1579">BM335/BH335</f>
        <v>13.989802855200544</v>
      </c>
      <c r="BQ335" s="129">
        <f>BQ295+BQ225+BQ188+BQ163+BQ151+BQ131+BQ121+BQ25+BQ143</f>
        <v>0</v>
      </c>
      <c r="BR335" s="129">
        <f>BR295+BR225+BR188+BR163+BR151+BR131+BR121+BR25+BR143</f>
        <v>2057900</v>
      </c>
      <c r="BT335" s="129">
        <f>BT295+BT225+BT188+BT163+BT151+BT131+BT121+BT25+BT143</f>
        <v>0</v>
      </c>
      <c r="BU335" s="129">
        <f>BU295+BU225+BU188+BU163+BU151+BU131+BU121+BU25+BU143</f>
        <v>2057900</v>
      </c>
      <c r="BW335" s="129">
        <f>BW295+BW225+BW188+BW163+BW151+BW131+BW121+BW25+BW143</f>
        <v>60000</v>
      </c>
      <c r="BX335" s="129">
        <f>BX295+BX225+BX188+BX163+BX151+BX131+BX121+BX25+BX143</f>
        <v>2117900</v>
      </c>
      <c r="BZ335" s="129">
        <f>BZ295+BZ225+BZ188+BZ163+BZ151+BZ131+BZ121+BZ25+BZ143</f>
        <v>0</v>
      </c>
      <c r="CA335" s="129">
        <f>CA295+CA225+CA188+CA163+CA151+CA131+CA121+CA25+CA143</f>
        <v>2117900</v>
      </c>
      <c r="CC335" s="129">
        <f>CC295+CC225+CC188+CC163+CC151+CC131+CC121+CC25+CC143</f>
        <v>0</v>
      </c>
      <c r="CD335" s="129">
        <f>CD295+CD225+CD188+CD163+CD151+CD131+CD121+CD25+CD143</f>
        <v>2117900</v>
      </c>
      <c r="CF335" s="129">
        <f>CF295+CF225+CF188+CF163+CF151+CF131+CF121+CF25+CF143</f>
        <v>0</v>
      </c>
      <c r="CG335" s="129">
        <f>CG295+CG225+CG188+CG163+CG151+CG131+CG121+CG25+CG143</f>
        <v>2117900</v>
      </c>
      <c r="CI335" s="129">
        <f>CI295+CI225+CI188+CI163+CI151+CI131+CI121+CI25+CI143</f>
        <v>0</v>
      </c>
      <c r="CJ335" s="129">
        <f>CJ295+CJ225+CJ188+CJ163+CJ151+CJ131+CJ121+CJ25+CJ143</f>
        <v>2117900</v>
      </c>
      <c r="CL335" s="321">
        <f>CL295+CL225+CL188+CL163+CL151+CL131+CL121+CL25+CL143</f>
        <v>0</v>
      </c>
      <c r="CM335" s="129">
        <f>CM295+CM225+CM188+CM163+CM151+CM131+CM121+CM25+CM143</f>
        <v>2117900</v>
      </c>
      <c r="CO335" s="129">
        <f>CO295+CO225+CO188+CO163+CO151+CO131+CO121+CO25+CO143+CO69</f>
        <v>0</v>
      </c>
      <c r="CP335" s="129">
        <f>CP295+CP225+CP188+CP163+CP151+CP131+CP121+CP25+CP143+CP69</f>
        <v>2117900</v>
      </c>
      <c r="CR335" s="129">
        <f>CR295+CR225+CR188+CR163+CR151+CR131+CR121+CR25+CR143+CR69</f>
        <v>242000</v>
      </c>
      <c r="CS335" s="129">
        <f>CS295+CS225+CS188+CS163+CS151+CS131+CS121+CS25+CS143+CS69</f>
        <v>2359900</v>
      </c>
      <c r="CU335" s="129">
        <f>CU295+CU225+CU188+CU163+CU151+CU131+CU121+CU25+CU143+CU69</f>
        <v>122700</v>
      </c>
      <c r="CV335" s="129">
        <f>CV295+CV225+CV188+CV163+CV151+CV131+CV121+CV25+CV143+CV69</f>
        <v>2482600</v>
      </c>
      <c r="CX335" s="129">
        <f>CX295+CX225+CX188+CX163+CX151+CX131+CX121+CX25+CX143+CX69</f>
        <v>0</v>
      </c>
      <c r="CY335" s="129">
        <f>CY295+CY225+CY188+CY163+CY151+CY131+CY121+CY25+CY143+CY69</f>
        <v>2482600</v>
      </c>
      <c r="DA335" s="129">
        <f>DA295+DA225+DA188+DA163+DA151+DA131+DA121+DA25+DA143+DA69</f>
        <v>2481231</v>
      </c>
      <c r="DC335" s="129">
        <f>DC295+DC225+DC188+DC163+DC151+DC131+DC121+DC25+DC143+DC69+DC103</f>
        <v>539700</v>
      </c>
      <c r="DE335" s="129">
        <f>DE295+DE225+DE188+DE163+DE151+DE131+DE121+DE25+DE140</f>
        <v>0</v>
      </c>
      <c r="DF335" s="129">
        <f>DF295+DF225+DF188+DF163+DF151+DF131+DF121+DF25+DF143+DF69+DF103</f>
        <v>539700</v>
      </c>
      <c r="DH335" s="129">
        <f>DH295+DH225+DH188+DH163+DH151+DH131+DH121+DH25+DH140</f>
        <v>0</v>
      </c>
      <c r="DI335" s="129">
        <f>DI295+DI225+DI188+DI163+DI151+DI131+DI121+DI25+DI143+DI69+DI103</f>
        <v>539700</v>
      </c>
      <c r="DK335" s="129">
        <f>DK295+DK225+DK188+DK163+DK151+DK131+DK121+DK25+DK140+DK103+DK69</f>
        <v>866540.65999999992</v>
      </c>
      <c r="DL335" s="129">
        <f>DL295+DL225+DL188+DL163+DL151+DL131+DL121+DL25+DL143+DL69+DL103</f>
        <v>1406240.66</v>
      </c>
      <c r="DN335" s="129">
        <f>DN295+DN225+DN188+DN163+DN151+DN131+DN121+DN25+DN140+DN103+DN69</f>
        <v>0</v>
      </c>
      <c r="DO335" s="129">
        <f>DO295+DO225+DO188+DO163+DO151+DO131+DO121+DO25+DO143+DO69+DO103</f>
        <v>1406240.66</v>
      </c>
      <c r="DQ335" s="129">
        <f>DQ295+DQ225+DQ188+DQ163+DQ151+DQ131+DQ121+DQ25+DQ140+DQ103+DQ69</f>
        <v>99000</v>
      </c>
      <c r="DR335" s="129">
        <f>DR295+DR225+DR188+DR163+DR151+DR131+DR121+DR25+DR143+DR69+DR103</f>
        <v>1505240.66</v>
      </c>
      <c r="DT335" s="129">
        <f>DT295+DT225+DT188+DT163+DT151+DT131+DT121+DT25+DT140+DT103+DT69</f>
        <v>2000</v>
      </c>
      <c r="DU335" s="129">
        <f>DU295+DU225+DU188+DU163+DU151+DU131+DU121+DU25+DU143+DU69+DU103</f>
        <v>1507240.66</v>
      </c>
      <c r="DW335" s="129">
        <f>DW295+DW225+DW188+DW163+DW151+DW131+DW121+DW25+DW140+DW103+DW69</f>
        <v>584000</v>
      </c>
      <c r="DX335" s="129">
        <f>DX295+DX225+DX188+DX163+DX151+DX131+DX121+DX25+DX143+DX69+DX103</f>
        <v>2091240.66</v>
      </c>
      <c r="DZ335" s="129">
        <f>DZ295+DZ225+DZ188+DZ163+DZ151+DZ131+DZ121+DZ25+DZ140+DZ103+DZ69</f>
        <v>0</v>
      </c>
      <c r="EA335" s="129">
        <f>EA295+EA225+EA188+EA163+EA151+EA131+EA121+EA25+EA143+EA69+EA103</f>
        <v>2091240.66</v>
      </c>
      <c r="EC335" s="129">
        <f>EC295+EC225+EC188+EC163+EC151+EC131+EC121+EC25+EC140+EC103+EC69</f>
        <v>-100000</v>
      </c>
      <c r="ED335" s="129">
        <f>ED295+ED225+ED188+ED163+ED151+ED131+ED121+ED25+ED143+ED69+ED103</f>
        <v>1991240.66</v>
      </c>
      <c r="EF335" s="129">
        <f>EF295+EF225+EF188+EF163+EF151+EF131+EF121+EF25+EF140+EF103+EF69</f>
        <v>-200000</v>
      </c>
      <c r="EG335" s="129">
        <f>EG295+EG225+EG188+EG163+EG151+EG131+EG121+EG25+EG143+EG69+EG103</f>
        <v>1791240.66</v>
      </c>
      <c r="EI335" s="129">
        <f>EI295+EI225+EI188+EI163+EI151+EI131+EI121+EI25+EI140+EI103+EI69</f>
        <v>1491803.66</v>
      </c>
      <c r="EK335" s="129">
        <f>EK295+EK225+EK188+EK163+EK151+EK131+EK121+EK25+EK140+EK103+EK69+EK55</f>
        <v>2258340</v>
      </c>
      <c r="EM335" s="129">
        <f>EM295+EM225+EM188+EM163+EM151+EM131+EM121+EM25+EM140+EM103+EM69+EM55</f>
        <v>-7300</v>
      </c>
      <c r="EN335" s="129">
        <f>EN295+EN225+EN188+EN163+EN151+EN131+EN121+EN25+EN140+EN103+EN69+EN55</f>
        <v>2251040</v>
      </c>
      <c r="EP335" s="129">
        <f>EP295+EP225+EP188+EP163+EP151+EP131+EP121+EP25+EP140+EP103+EP69+EP55</f>
        <v>0</v>
      </c>
      <c r="EQ335" s="129">
        <f>EQ295+EQ225+EQ188+EQ163+EQ151+EQ131+EQ121+EQ25+EQ140+EQ103+EQ69+EQ55</f>
        <v>2251040</v>
      </c>
      <c r="ES335" s="129">
        <f>ES295+ES225+ES188+ES163+ES151+ES131+ES121+ES25+ES140+ES103+ES69+ES55</f>
        <v>0</v>
      </c>
      <c r="ET335" s="129">
        <f>ET295+ET225+ET188+ET163+ET151+ET131+ET121+ET25+ET140+ET103+ET69+ET55</f>
        <v>2251040</v>
      </c>
      <c r="EV335" s="129">
        <f>EV295+EV225+EV188+EV163+EV151+EV131+EV121+EV25+EV140+EV103+EV69+EV55</f>
        <v>0</v>
      </c>
      <c r="EW335" s="129">
        <f>EW295+EW225+EW188+EW163+EW151+EW131+EW121+EW25+EW140+EW103+EW69+EW55</f>
        <v>2251040</v>
      </c>
      <c r="EY335" s="129">
        <f>EY295+EY225+EY188+EY163+EY151+EY131+EY121+EY25+EY140+EY103+EY69+EY55</f>
        <v>0</v>
      </c>
      <c r="EZ335" s="129">
        <f>EZ295+EZ225+EZ188+EZ163+EZ151+EZ131+EZ121+EZ25+EZ140+EZ103+EZ69+EZ55</f>
        <v>2251040</v>
      </c>
      <c r="FB335" s="129">
        <f>FB295+FB225+FB188+FB163+FB151+FB131+FB121+FB25+FB140+FB103+FB69+FB55</f>
        <v>61000</v>
      </c>
      <c r="FC335" s="129">
        <f>FC295+FC225+FC188+FC163+FC151+FC131+FC121+FC25+FC140+FC103+FC69+FC55</f>
        <v>2312040</v>
      </c>
      <c r="FE335" s="129">
        <f>FE295+FE225+FE188+FE163+FE151+FE131+FE121+FE25+FE140+FE103+FE69+FE55</f>
        <v>0</v>
      </c>
      <c r="FF335" s="129">
        <f>FF295+FF225+FF188+FF163+FF151+FF131+FF121+FF25+FF140+FF103+FF69+FF55</f>
        <v>2312040</v>
      </c>
      <c r="FH335" s="129">
        <f>FH295+FH225+FH188+FH163+FH151+FH131+FH121+FH25+FH140+FH103+FH69+FH55</f>
        <v>0</v>
      </c>
      <c r="FI335" s="129">
        <f>FI295+FI225+FI188+FI163+FI151+FI131+FI121+FI25+FI140+FI103+FI69+FI55</f>
        <v>2312040</v>
      </c>
      <c r="FK335" s="129">
        <f>FK295+FK225+FK188+FK163+FK151+FK131+FK121+FK25+FK140+FK103+FK69+FK55</f>
        <v>168400</v>
      </c>
      <c r="FL335" s="129">
        <f>FL295+FL225+FL188+FL163+FL151+FL131+FL121+FL25+FL140+FL103+FL69+FL55</f>
        <v>2480440</v>
      </c>
      <c r="FN335" s="129">
        <f>FN295+FN225+FN188+FN163+FN151+FN131+FN121+FN25+FN140+FN103+FN69+FN55</f>
        <v>0</v>
      </c>
      <c r="FO335" s="129">
        <f>FO295+FO225+FO188+FO163+FO151+FO131+FO121+FO25+FO140+FO103+FO69+FO55</f>
        <v>2480440</v>
      </c>
      <c r="FQ335" s="129">
        <v>0</v>
      </c>
      <c r="FR335" s="129">
        <v>2480440</v>
      </c>
      <c r="FT335" s="129">
        <f>FT295+FT225+FT188+FT163+FT151+FT131+FT121+FT25+FT143+FT103+FT69+FT55</f>
        <v>2403137.06</v>
      </c>
      <c r="FV335" s="129">
        <f>FV295+FV225+FV188+FV163+FV151+FV131+FV121+FV25+FV143+FV103+FV69+FV55</f>
        <v>813300</v>
      </c>
      <c r="FW335" s="235">
        <f t="shared" ref="FW335" si="1580">FV335/FT335</f>
        <v>0.33843263188658912</v>
      </c>
    </row>
    <row r="336" spans="1:179" ht="16.5" thickTop="1" thickBot="1">
      <c r="R336" s="118"/>
      <c r="T336" s="118"/>
      <c r="Y336" s="118"/>
      <c r="Z336" s="118"/>
      <c r="AH336" s="15"/>
      <c r="AR336" s="118"/>
      <c r="AS336" s="118"/>
      <c r="AU336" s="118"/>
      <c r="AV336" s="118"/>
      <c r="AX336" s="118"/>
      <c r="AY336" s="118"/>
      <c r="BA336" s="118"/>
      <c r="BB336" s="118"/>
      <c r="BD336" s="118"/>
      <c r="BE336" s="118"/>
      <c r="BG336" s="118"/>
      <c r="BH336" s="118"/>
      <c r="BJ336" s="118"/>
      <c r="BM336" s="118"/>
      <c r="BN336" s="235"/>
      <c r="BO336" s="235"/>
      <c r="BQ336" s="118"/>
      <c r="BR336" s="118"/>
      <c r="BT336" s="118"/>
      <c r="BU336" s="118"/>
      <c r="BW336" s="118"/>
      <c r="BX336" s="118"/>
      <c r="BZ336" s="118"/>
      <c r="CA336" s="118"/>
      <c r="CC336" s="118"/>
      <c r="CD336" s="118"/>
      <c r="CF336" s="118"/>
      <c r="CG336" s="118"/>
      <c r="CI336" s="118"/>
      <c r="CJ336" s="118"/>
      <c r="CL336" s="118"/>
      <c r="CM336" s="118"/>
      <c r="CO336" s="118"/>
      <c r="CP336" s="118"/>
      <c r="CR336" s="118"/>
      <c r="CS336" s="118"/>
      <c r="CU336" s="118"/>
      <c r="CV336" s="118"/>
      <c r="CX336" s="118"/>
      <c r="CY336" s="118"/>
      <c r="DA336" s="118"/>
      <c r="DC336" s="118"/>
      <c r="DE336" s="118"/>
      <c r="DF336" s="118"/>
      <c r="DH336" s="118"/>
      <c r="DI336" s="118"/>
      <c r="DK336" s="118"/>
      <c r="DL336" s="118"/>
      <c r="DN336" s="118"/>
      <c r="DO336" s="118"/>
      <c r="DQ336" s="118"/>
      <c r="DR336" s="118"/>
      <c r="DT336" s="118"/>
      <c r="DU336" s="118"/>
      <c r="DW336" s="118"/>
      <c r="DX336" s="118"/>
      <c r="DZ336" s="118"/>
      <c r="EA336" s="118"/>
      <c r="EC336" s="118"/>
      <c r="ED336" s="118"/>
      <c r="EF336" s="118"/>
      <c r="EG336" s="118"/>
      <c r="EI336" s="118"/>
      <c r="EK336" s="118"/>
      <c r="EM336" s="118"/>
      <c r="EN336" s="118"/>
      <c r="EP336" s="118"/>
      <c r="EQ336" s="118"/>
      <c r="ES336" s="118"/>
      <c r="ET336" s="118"/>
      <c r="EV336" s="118"/>
      <c r="EW336" s="118"/>
      <c r="EY336" s="118"/>
      <c r="EZ336" s="118"/>
      <c r="FB336" s="118"/>
      <c r="FC336" s="118"/>
      <c r="FE336" s="118"/>
      <c r="FF336" s="118"/>
      <c r="FH336" s="118"/>
      <c r="FI336" s="118"/>
      <c r="FK336" s="118"/>
      <c r="FL336" s="118"/>
      <c r="FN336" s="118"/>
      <c r="FO336" s="118"/>
      <c r="FQ336" s="118"/>
      <c r="FR336" s="118"/>
      <c r="FT336" s="118"/>
      <c r="FV336" s="118"/>
    </row>
    <row r="337" spans="1:179" ht="15.75" thickBot="1">
      <c r="A337" s="159"/>
      <c r="B337" s="159"/>
      <c r="C337" s="288" t="s">
        <v>262</v>
      </c>
      <c r="D337" s="160"/>
      <c r="E337" s="161"/>
      <c r="F337" s="160"/>
      <c r="G337" s="161"/>
      <c r="H337" s="160"/>
      <c r="I337" s="160"/>
      <c r="J337" s="159"/>
      <c r="K337" s="159"/>
      <c r="L337" s="162">
        <f>L332+L335</f>
        <v>6069999.9199999999</v>
      </c>
      <c r="M337" s="159"/>
      <c r="N337" s="159"/>
      <c r="Q337" s="162">
        <f>Q332+Q335</f>
        <v>6722400</v>
      </c>
      <c r="R337" s="162">
        <f>R332+R335</f>
        <v>2751761</v>
      </c>
      <c r="S337" s="162">
        <f>S332+S335</f>
        <v>5885000</v>
      </c>
      <c r="T337" s="162">
        <f>T332+T335</f>
        <v>-846900</v>
      </c>
      <c r="U337" s="163">
        <f>S337/Q337-1</f>
        <v>-0.12456860645007739</v>
      </c>
      <c r="Y337" s="162">
        <f>Y332+Y335</f>
        <v>5928700</v>
      </c>
      <c r="Z337" s="162"/>
      <c r="AA337" s="162">
        <f>AA332+AA335</f>
        <v>6220510</v>
      </c>
      <c r="AB337" s="162">
        <f>AB332+AB335</f>
        <v>291810</v>
      </c>
      <c r="AE337" s="162">
        <f>AE332+AE335</f>
        <v>6319760</v>
      </c>
      <c r="AF337" s="182">
        <f t="shared" ref="AF337" si="1581">AE337-AA337</f>
        <v>99250</v>
      </c>
      <c r="AH337" s="162">
        <f>AH332+AH335</f>
        <v>6028927.5000000009</v>
      </c>
      <c r="AI337" s="17">
        <f t="shared" ref="AI337" si="1582">AH337/AE337</f>
        <v>0.95398045178930857</v>
      </c>
      <c r="AK337" s="162">
        <f>AK332+AK335</f>
        <v>4829000</v>
      </c>
      <c r="AL337" s="193">
        <f>AK337/L337</f>
        <v>0.79555190504846007</v>
      </c>
      <c r="AM337" s="17">
        <f>AK337/AE337</f>
        <v>0.76411129536564681</v>
      </c>
      <c r="AN337" s="17">
        <f>AK337/AH337</f>
        <v>0.80097164877169269</v>
      </c>
      <c r="AR337" s="162">
        <f>AR332+AR335</f>
        <v>100000</v>
      </c>
      <c r="AS337" s="162">
        <f>AS332+AS335</f>
        <v>4929000</v>
      </c>
      <c r="AU337" s="162">
        <f>AU332+AU335</f>
        <v>150300</v>
      </c>
      <c r="AV337" s="162">
        <f>AV332+AV335</f>
        <v>5079300</v>
      </c>
      <c r="AX337" s="162">
        <f>AX332+AX335</f>
        <v>49297.26</v>
      </c>
      <c r="AY337" s="162">
        <f>AY332+AY335</f>
        <v>5128597.26</v>
      </c>
      <c r="BA337" s="162">
        <f>BA332+BA335</f>
        <v>0</v>
      </c>
      <c r="BB337" s="162">
        <f>BB332+BB335</f>
        <v>5128597.26</v>
      </c>
      <c r="BD337" s="162">
        <f>BD332+BD335</f>
        <v>428903</v>
      </c>
      <c r="BE337" s="162">
        <f>BE332+BE335</f>
        <v>5557500.2599999998</v>
      </c>
      <c r="BG337" s="162">
        <f>BG332+BG335</f>
        <v>0</v>
      </c>
      <c r="BH337" s="162">
        <f>BH332+BH335</f>
        <v>5557500.2599999998</v>
      </c>
      <c r="BJ337" s="162">
        <f>BJ332+BJ335</f>
        <v>5199302.4800000004</v>
      </c>
      <c r="BK337" s="239">
        <f t="shared" ref="BK337" si="1583">BJ337/BH337</f>
        <v>0.93554696117998937</v>
      </c>
      <c r="BM337" s="162">
        <f>BM332+BM335</f>
        <v>9253500</v>
      </c>
      <c r="BN337" s="239">
        <f t="shared" si="1574"/>
        <v>1.779757964764535</v>
      </c>
      <c r="BO337" s="239">
        <f t="shared" si="1575"/>
        <v>1.6650471555713433</v>
      </c>
      <c r="BQ337" s="162">
        <f>BQ332+BQ335</f>
        <v>0</v>
      </c>
      <c r="BR337" s="162">
        <f>BR332+BR335</f>
        <v>9253500</v>
      </c>
      <c r="BT337" s="162">
        <f>BT332+BT335</f>
        <v>0</v>
      </c>
      <c r="BU337" s="162">
        <f>BU332+BU335</f>
        <v>9253500</v>
      </c>
      <c r="BW337" s="162">
        <f>BW332+BW335</f>
        <v>170366</v>
      </c>
      <c r="BX337" s="162">
        <f>BX332+BX335</f>
        <v>9423866</v>
      </c>
      <c r="BZ337" s="162">
        <f>BZ332+BZ335</f>
        <v>26000</v>
      </c>
      <c r="CA337" s="162">
        <f>CA332+CA335</f>
        <v>9449866</v>
      </c>
      <c r="CC337" s="162">
        <f>CC332+CC335</f>
        <v>241888.89</v>
      </c>
      <c r="CD337" s="162">
        <f>CD332+CD335</f>
        <v>9691754.8900000006</v>
      </c>
      <c r="CF337" s="162">
        <f>CF332+CF335</f>
        <v>0</v>
      </c>
      <c r="CG337" s="162">
        <f>CG332+CG335</f>
        <v>9691754.8900000006</v>
      </c>
      <c r="CI337" s="162">
        <f>CI332+CI335</f>
        <v>0</v>
      </c>
      <c r="CJ337" s="162">
        <f>CJ332+CJ335</f>
        <v>9691754.8900000006</v>
      </c>
      <c r="CL337" s="118">
        <f>CL332+CL335</f>
        <v>0</v>
      </c>
      <c r="CM337" s="162">
        <f>CM332+CM335</f>
        <v>9691754.8900000006</v>
      </c>
      <c r="CO337" s="162">
        <f>CO332+CO335</f>
        <v>152000</v>
      </c>
      <c r="CP337" s="162">
        <f>CP332+CP335</f>
        <v>9843754.8900000006</v>
      </c>
      <c r="CR337" s="162">
        <f>CR332+CR335</f>
        <v>242000</v>
      </c>
      <c r="CS337" s="162">
        <f>CS332+CS335</f>
        <v>10085754.890000001</v>
      </c>
      <c r="CU337" s="162">
        <f>CU332+CU335</f>
        <v>-123300</v>
      </c>
      <c r="CV337" s="162">
        <f>CV332+CV335</f>
        <v>9962454.8900000006</v>
      </c>
      <c r="CX337" s="162">
        <f>CX332+CX335</f>
        <v>0</v>
      </c>
      <c r="CY337" s="162">
        <f>CY332+CY335</f>
        <v>9962454.8900000006</v>
      </c>
      <c r="DA337" s="162">
        <f>DA332+DA335</f>
        <v>10075978.440000001</v>
      </c>
      <c r="DC337" s="162">
        <f>DC332+DC335</f>
        <v>6791389.0999999996</v>
      </c>
      <c r="DE337" s="162">
        <f>DE332+DE335</f>
        <v>0</v>
      </c>
      <c r="DF337" s="162">
        <f>DF332+DF335</f>
        <v>6791389.0999999996</v>
      </c>
      <c r="DH337" s="162">
        <f>DH332+DH335</f>
        <v>57325</v>
      </c>
      <c r="DI337" s="162">
        <f>DI332+DI335</f>
        <v>6848714.0999999996</v>
      </c>
      <c r="DK337" s="162">
        <f>DK332+DK335</f>
        <v>1115990.6599999999</v>
      </c>
      <c r="DL337" s="162">
        <f>DL332+DL335</f>
        <v>7964704.7599999998</v>
      </c>
      <c r="DN337" s="162">
        <f>DN332+DN335</f>
        <v>0</v>
      </c>
      <c r="DO337" s="162">
        <f>DO332+DO335</f>
        <v>7964704.7599999998</v>
      </c>
      <c r="DQ337" s="162">
        <f>DQ332+DQ335</f>
        <v>215300</v>
      </c>
      <c r="DR337" s="162">
        <f>DR332+DR335</f>
        <v>8180004.7599999998</v>
      </c>
      <c r="DT337" s="162">
        <f>DT332+DT335</f>
        <v>103900</v>
      </c>
      <c r="DU337" s="162">
        <f>DU332+DU335</f>
        <v>8283904.7599999998</v>
      </c>
      <c r="DW337" s="162">
        <f>DW332+DW335</f>
        <v>870100</v>
      </c>
      <c r="DX337" s="162">
        <f>DX332+DX335</f>
        <v>9154004.7599999998</v>
      </c>
      <c r="DZ337" s="162">
        <f>DZ332+DZ335</f>
        <v>0</v>
      </c>
      <c r="EA337" s="162">
        <f>EA332+EA335</f>
        <v>9154004.7599999998</v>
      </c>
      <c r="EC337" s="162">
        <f>EC332+EC335</f>
        <v>-81700</v>
      </c>
      <c r="ED337" s="162">
        <f>ED332+ED335</f>
        <v>9072304.7599999998</v>
      </c>
      <c r="EF337" s="162">
        <f>EF332+EF335</f>
        <v>-203905</v>
      </c>
      <c r="EG337" s="162">
        <f>EG332+EG335</f>
        <v>8868399.7599999998</v>
      </c>
      <c r="EI337" s="162">
        <f>EI332+EI335</f>
        <v>8401451.1099999994</v>
      </c>
      <c r="EK337" s="162">
        <f>EK332+EK335</f>
        <v>8198220.0999999996</v>
      </c>
      <c r="EM337" s="162">
        <f>EM332+EM335</f>
        <v>63080</v>
      </c>
      <c r="EN337" s="162">
        <f>EN332+EN335</f>
        <v>8261300.0999999996</v>
      </c>
      <c r="EP337" s="162">
        <f>EP332+EP335</f>
        <v>182700</v>
      </c>
      <c r="EQ337" s="162">
        <f>EQ332+EQ335</f>
        <v>8444000.0999999996</v>
      </c>
      <c r="ES337" s="162">
        <f>ES332+ES335</f>
        <v>0</v>
      </c>
      <c r="ET337" s="162">
        <f>ET332+ET335</f>
        <v>8444000.0999999996</v>
      </c>
      <c r="EV337" s="162">
        <f>EV332+EV335</f>
        <v>0</v>
      </c>
      <c r="EW337" s="162">
        <f>EW332+EW335</f>
        <v>8444000.0999999996</v>
      </c>
      <c r="EY337" s="162">
        <f>EY332+EY335</f>
        <v>0</v>
      </c>
      <c r="EZ337" s="162">
        <f>EZ332+EZ335</f>
        <v>8444000.0999999996</v>
      </c>
      <c r="FB337" s="162">
        <f>FB332+FB335</f>
        <v>48000</v>
      </c>
      <c r="FC337" s="162">
        <f>FC332+FC335</f>
        <v>8492000.0999999996</v>
      </c>
      <c r="FE337" s="162">
        <f>FE332+FE335</f>
        <v>0</v>
      </c>
      <c r="FF337" s="162">
        <f>FF332+FF335</f>
        <v>8468500.0999999996</v>
      </c>
      <c r="FH337" s="162">
        <f>FH332+FH335</f>
        <v>0</v>
      </c>
      <c r="FI337" s="162">
        <f>FI332+FI335</f>
        <v>8492000.0999999996</v>
      </c>
      <c r="FK337" s="162">
        <f>FK332+FK335</f>
        <v>76881</v>
      </c>
      <c r="FL337" s="162">
        <f>FL332+FL335</f>
        <v>8568881.0999999996</v>
      </c>
      <c r="FN337" s="162">
        <f>FN332+FN335</f>
        <v>0</v>
      </c>
      <c r="FO337" s="162">
        <f>FO332+FO335</f>
        <v>8568881.0999999996</v>
      </c>
      <c r="FQ337" s="162">
        <v>0</v>
      </c>
      <c r="FR337" s="162">
        <v>8568881.0999999996</v>
      </c>
      <c r="FT337" s="162">
        <f>FT332+FT335</f>
        <v>8226972.5700000022</v>
      </c>
      <c r="FV337" s="162">
        <f>FV332+FV335</f>
        <v>6802769.4000000004</v>
      </c>
      <c r="FW337" s="235">
        <f t="shared" ref="FW337" si="1584">FV337/FT337</f>
        <v>0.82688611662649536</v>
      </c>
    </row>
    <row r="338" spans="1:179">
      <c r="R338" s="118"/>
      <c r="T338" s="118"/>
      <c r="Y338" s="118"/>
      <c r="AH338" s="15"/>
    </row>
    <row r="339" spans="1:179" ht="15.75">
      <c r="B339" s="362" t="s">
        <v>316</v>
      </c>
      <c r="C339" s="363" t="s">
        <v>326</v>
      </c>
      <c r="D339" s="40"/>
      <c r="E339" s="53"/>
      <c r="F339" s="40"/>
      <c r="G339" s="53"/>
      <c r="H339" s="40"/>
      <c r="I339" s="40"/>
      <c r="J339" s="52"/>
      <c r="K339" s="52" t="s">
        <v>332</v>
      </c>
      <c r="L339" s="130">
        <v>3181800</v>
      </c>
      <c r="M339" s="40">
        <f>SUBTOTAL(9,L5:L330)</f>
        <v>12585999.84</v>
      </c>
      <c r="Q339" s="130"/>
      <c r="R339" s="130"/>
      <c r="S339" s="130"/>
      <c r="T339" s="130"/>
      <c r="Y339" s="130"/>
      <c r="AH339" s="15"/>
      <c r="BJ339" s="15">
        <v>5199303</v>
      </c>
      <c r="BM339" s="347"/>
      <c r="CY339" s="347">
        <f>CY276+CY284+CY303+CY291+CY200+CY201+CY88+CY89+CY323+CY296+CY319+CY34+CY325+CY324+CY322+CY314+CY299+CY288+CY280+CY277+CY275+CY274+CY273+CY267+CY265+CY264+CY263+CY262+CY261+CY228+CY227+CY226+CY208+CY207+CY206+CY205+CY189+CY180+CY174+CY173+CY167+CY166+CY165+CY164+CY155+CY158+CY152+CY134+CY107+CY106+CY105+CY95+CY94+CY74+CY73+CY75+CY70+CY56+CY51+CY40+CY33+(ROZPOČET23návrh!B22)*(-1)</f>
        <v>3667226</v>
      </c>
      <c r="DA339" s="347">
        <f>DA276+DA284+DA303+DA291+DA200+DA201+DA88+DA89+DA323+DA296+DA319+DA34+DA325+DA324+DA322+DA314+DA299+DA288+DA280+DA277+DA275+DA274+DA273+DA267+DA265+DA264+DA263+DA262+DA261+DA228+DA227+DA226+DA208+DA207+DA206+DA205+DA189+DA180+DA174+DA173+DA167+DA166+DA165+DA164+DA155+DA158+DA152+DA134+DA107+DA106+DA105+DA95+DA94+DA74+DA73+DA75+DA70+DA56+DA51+DA40+DA33+(ROZPOČET23návrh!D22)*(-1)</f>
        <v>3783676.7399999998</v>
      </c>
      <c r="DC339" s="347">
        <f>DC276+DC284+DC303+DC291+DC200+DC201+DC88+DC89+DC323+DC296+DC319+DC34+DC325+DC324+DC322+DC314+DC299+DC288+DC280+DC277+DC275+DC274+DC273+DC267+DC265+DC264+DC263+DC262+DC261+DC228+DC227+DC226+DC208+DC207+DC206+DC205+DC189+DC180+DC174+DC173+DC167+DC166+DC165+DC164+DC155+DC158+DC152+DC134+DC107+DC106+DC105+DC95+DC94+DC74+DC73+DC75+DC70+DC56+DC51+DC40+DC33+(ROZPOČET23návrh!F22)*(-1)</f>
        <v>4422141.0999999996</v>
      </c>
      <c r="DD339" s="348">
        <f>DC339/ROZPOČET23návrh!F5</f>
        <v>0.72181723361190908</v>
      </c>
      <c r="DE339" s="347">
        <f>DE276+DE284+DE303+DE291+DE200+DE201+DE88+DE89+DE323+DE296+DE319+DE34+DE325+DE324+DE322+DE314+DE299+DE288+DE280+DE277+DE275+DE274+DE273+DE267+DE265+DE264+DE263+DE262+DE261+DE228+DE227+DE226+DE208+DE207+DE206+DE205+DE189+DE180+DE174+DE173+DE167+DE166+DE165+DE164+DE155+DE158+DE152+DE134+DE107+DE106+DE105+DE95+DE94+DE74+DE73+DE75+DE70+DE56+DE51+DE40+DE33+(ROZPOČET23návrh!H22)*(-1)</f>
        <v>0</v>
      </c>
      <c r="DF339" s="347">
        <f>DF276+DF284+DF303+DF291+DF200+DF201+DF88+DF89+DF323+DF296+DF319+DF34+DF325+DF324+DF322+DF314+DF299+DF288+DF280+DF277+DF275+DF274+DF273+DF267+DF265+DF264+DF263+DF262+DF261+DF228+DF227+DF226+DF208+DF207+DF206+DF205+DF189+DF180+DF174+DF173+DF167+DF166+DF165+DF164+DF155+DF158+DF152+DF134+DF107+DF106+DF105+DF95+DF94+DF74+DF73+DF75+DF70+DF56+DF51+DF40+DF33+(ROZPOČET23návrh!I22)*(-1)</f>
        <v>4177141.1</v>
      </c>
      <c r="DH339" s="347">
        <f>DH276+DH284+DH303+DH291+DH200+DH201+DH88+DH89+DH323+DH296+DH319+DH34+DH325+DH324+DH322+DH314+DH299+DH288+DH280+DH277+DH275+DH274+DH273+DH267+DH265+DH264+DH263+DH262+DH261+DH228+DH227+DH226+DH208+DH207+DH206+DH205+DH189+DH180+DH174+DH173+DH167+DH166+DH165+DH164+DH155+DH158+DH152+DH134+DH107+DH106+DH105+DH95+DH94+DH74+DH73+DH75+DH70+DH56+DH51+DH40+DH33+(ROZPOČET23návrh!K22)*(-1)</f>
        <v>21000</v>
      </c>
      <c r="DI339" s="347">
        <f>DI276+DI284+DI303+DI291+DI200+DI201+DI88+DI89+DI323+DI296+DI319+DI34+DI325+DI324+DI322+DI314+DI299+DI288+DI280+DI277+DI275+DI274+DI273+DI267+DI265+DI264+DI263+DI262+DI261+DI228+DI227+DI226+DI208+DI207+DI206+DI205+DI189+DI180+DI174+DI173+DI167+DI166+DI165+DI164+DI155+DI158+DI152+DI134+DI107+DI106+DI105+DI95+DI94+DI74+DI73+DI75+DI70+DI56+DI51+DI40+DI33+(ROZPOČET23návrh!L22)*(-1)</f>
        <v>4198141.0999999996</v>
      </c>
      <c r="DK339" s="347">
        <f>DK276+DK284+DK303+DK291+DK200+DK201+DK88+DK89+DK323+DK296+DK319+DK34+DK325+DK324+DK322+DK314+DK299+DK288+DK280+DK277+DK275+DK274+DK273+DK267+DK265+DK264+DK263+DK262+DK261+DK228+DK227+DK226+DK208+DK207+DK206+DK205+DK189+DK180+DK174+DK173+DK167+DK166+DK165+DK164+DK155+DK158+DK152+DK134+DK107+DK106+DK105+DK95+DK94+DK74+DK73+DK75+DK70+DK56+DK51+DK40+DK33+(ROZPOČET23návrh!N22)*(-1)</f>
        <v>0</v>
      </c>
      <c r="DL339" s="347">
        <f>DL276+DL284+DL303+DL291+DL200+DL201+DL88+DL89+DL323+DL296+DL319+DL34+DL325+DL324+DL322+DL314+DL299+DL288+DL280+DL277+DL275+DL274+DL273+DL267+DL265+DL264+DL263+DL262+DL261+DL228+DL227+DL226+DL208+DL207+DL206+DL205+DL189+DL180+DL174+DL173+DL167+DL166+DL165+DL164+DL155+DL158+DL152+DL134+DL107+DL106+DL105+DL95+DL94+DL74+DL73+DL75+DL70+DL56+DL51+DL40+DL33+(ROZPOČET23návrh!O22)*(-1)</f>
        <v>4198141.0999999996</v>
      </c>
      <c r="DN339" s="347">
        <f>DN276+DN284+DN303+DN291+DN200+DN201+DN88+DN89+DN323+DN296+DN319+DN34+DN325+DN324+DN322+DN314+DN299+DN288+DN280+DN277+DN275+DN274+DN273+DN267+DN265+DN264+DN263+DN262+DN261+DN228+DN227+DN226+DN208+DN207+DN206+DN205+DN189+DN180+DN174+DN173+DN167+DN166+DN165+DN164+DN155+DN158+DN152+DN134+DN107+DN106+DN105+DN95+DN94+DN74+DN73+DN75+DN70+DN56+DN51+DN40+DN33+(ROZPOČET23návrh!Q22)*(-1)</f>
        <v>0</v>
      </c>
      <c r="DO339" s="347">
        <f>DO276+DO284+DO303+DO291+DO200+DO201+DO88+DO89+DO323+DO296+DO319+DO34+DO325+DO324+DO322+DO314+DO299+DO288+DO280+DO277+DO275+DO274+DO273+DO267+DO265+DO264+DO263+DO262+DO261+DO228+DO227+DO226+DO208+DO207+DO206+DO205+DO189+DO180+DO174+DO173+DO167+DO166+DO165+DO164+DO155+DO158+DO152+DO134+DO107+DO106+DO105+DO95+DO94+DO74+DO73+DO75+DO70+DO56+DO51+DO40+DO33+(ROZPOČET23návrh!R22)*(-1)</f>
        <v>4198141.0999999996</v>
      </c>
      <c r="DQ339" s="347">
        <f>DQ276+DQ284+DQ303+DQ291+DQ200+DQ201+DQ88+DQ89+DQ323+DQ296+DQ319+DQ34+DQ325+DQ324+DQ322+DQ314+DQ299+DQ288+DQ280+DQ277+DQ275+DQ274+DQ273+DQ267+DQ265+DQ264+DQ263+DQ262+DQ261+DQ228+DQ227+DQ226+DQ208+DQ207+DQ206+DQ205+DQ189+DQ180+DQ174+DQ173+DQ167+DQ166+DQ165+DQ164+DQ155+DQ158+DQ152+DQ134+DQ107+DQ106+DQ105+DQ95+DQ94+DQ74+DQ73+DQ75+DQ70+DQ56+DQ51+DQ40+DQ33+(ROZPOČET23návrh!T22)*(-1)</f>
        <v>5100</v>
      </c>
      <c r="DR339" s="347">
        <f>DR276+DR284+DR303+DR291+DR200+DR201+DR88+DR89+DR323+DR296+DR319+DR34+DR325+DR324+DR322+DR314+DR299+DR288+DR280+DR277+DR275+DR274+DR273+DR267+DR265+DR264+DR263+DR262+DR261+DR228+DR227+DR226+DR208+DR207+DR206+DR205+DR189+DR180+DR174+DR173+DR167+DR166+DR165+DR164+DR155+DR158+DR152+DR134+DR107+DR106+DR105+DR95+DR94+DR74+DR73+DR75+DR70+DR56+DR51+DR40+DR33+(ROZPOČET23návrh!U22)*(-1)</f>
        <v>4203241.0999999996</v>
      </c>
      <c r="DT339" s="347">
        <f>DT276+DT284+DT303+DT291+DT200+DT201+DT88+DT89+DT323+DT296+DT319+DT34+DT325+DT324+DT322+DT314+DT299+DT288+DT280+DT277+DT275+DT274+DT273+DT267+DT265+DT264+DT263+DT262+DT261+DT228+DT227+DT226+DT208+DT207+DT206+DT205+DT189+DT180+DT174+DT173+DT167+DT166+DT165+DT164+DT155+DT158+DT152+DT134+DT107+DT106+DT105+DT95+DT94+DT74+DT73+DT75+DT70+DT56+DT51+DT40+DT33+(ROZPOČET23návrh!W22)*(-1)</f>
        <v>16200</v>
      </c>
      <c r="DU339" s="347">
        <f>DU276+DU284+DU303+DU291+DU200+DU201+DU88+DU89+DU323+DU296+DU319+DU34+DU325+DU324+DU322+DU314+DU299+DU288+DU280+DU277+DU275+DU274+DU273+DU267+DU265+DU264+DU263+DU262+DU261+DU228+DU227+DU226+DU208+DU207+DU206+DU205+DU189+DU180+DU174+DU173+DU167+DU166+DU165+DU164+DU155+DU158+DU152+DU134+DU107+DU106+DU105+DU95+DU94+DU74+DU73+DU75+DU70+DU56+DU51+DU40+DU33+(ROZPOČET23návrh!X22)*(-1)</f>
        <v>4219441.0999999996</v>
      </c>
      <c r="DW339" s="347">
        <f>DW276+DW284+DW303+DW291+DW200+DW201+DW88+DW89+DW323+DW296+DW319+DW34+DW325+DW324+DW322+DW314+DW299+DW288+DW280+DW277+DW275+DW274+DW273+DW267+DW265+DW264+DW263+DW262+DW261+DW228+DW227+DW226+DW208+DW207+DW206+DW205+DW189+DW180+DW174+DW173+DW167+DW166+DW165+DW164+DW155+DW158+DW152+DW134+DW107+DW106+DW105+DW95+DW94+DW74+DW73+DW75+DW70+DW56+DW51+DW40+DW33+(ROZPOČET23návrh!Z22)*(-1)</f>
        <v>4000</v>
      </c>
      <c r="DX339" s="347">
        <f>DX276+DX284+DX303+DX291+DX200+DX201+DX88+DX89+DX323+DX296+DX319+DX34+DX325+DX324+DX322+DX314+DX299+DX288+DX280+DX277+DX275+DX274+DX273+DX267+DX265+DX264+DX263+DX262+DX261+DX228+DX227+DX226+DX208+DX207+DX206+DX205+DX189+DX180+DX174+DX173+DX167+DX166+DX165+DX164+DX155+DX158+DX152+DX134+DX107+DX106+DX105+DX95+DX94+DX74+DX73+DX75+DX70+DX56+DX51+DX40+DX33+(ROZPOČET23návrh!AA22)*(-1)</f>
        <v>4223441.0999999996</v>
      </c>
      <c r="DZ339" s="347">
        <f>DZ276+DZ284+DZ303+DZ291+DZ200+DZ201+DZ88+DZ89+DZ323+DZ296+DZ319+DZ34+DZ325+DZ324+DZ322+DZ314+DZ299+DZ288+DZ280+DZ277+DZ275+DZ274+DZ273+DZ267+DZ265+DZ264+DZ263+DZ262+DZ261+DZ228+DZ227+DZ226+DZ208+DZ207+DZ206+DZ205+DZ189+DZ180+DZ174+DZ173+DZ167+DZ166+DZ165+DZ164+DZ155+DZ158+DZ152+DZ134+DZ107+DZ106+DZ105+DZ95+DZ94+DZ74+DZ73+DZ75+DZ70+DZ56+DZ51+DZ40+DZ33+(ROZPOČET23návrh!AC22)*(-1)</f>
        <v>-39000</v>
      </c>
      <c r="EA339" s="347">
        <f>EA276+EA284+EA303+EA291+EA200+EA201+EA88+EA89+EA323+EA296+EA319+EA34+EA325+EA324+EA322+EA314+EA299+EA288+EA280+EA277+EA275+EA274+EA273+EA267+EA265+EA264+EA263+EA262+EA261+EA228+EA227+EA226+EA208+EA207+EA206+EA205+EA189+EA180+EA174+EA173+EA167+EA166+EA165+EA164+EA155+EA158+EA152+EA134+EA107+EA106+EA105+EA95+EA94+EA74+EA73+EA75+EA70+EA56+EA51+EA40+EA33+(ROZPOČET23návrh!AD22)*(-1)</f>
        <v>4184441.1</v>
      </c>
      <c r="EC339" s="347">
        <f>EC276+EC284+EC303+EC291+EC200+EC201+EC88+EC89+EC323+EC296+EC319+EC34+EC325+EC324+EC322+EC314+EC299+EC288+EC280+EC277+EC275+EC274+EC273+EC267+EC265+EC264+EC263+EC262+EC261+EC228+EC227+EC226+EC208+EC207+EC206+EC205+EC189+EC180+EC174+EC173+EC167+EC166+EC165+EC164+EC155+EC158+EC152+EC134+EC107+EC106+EC105+EC95+EC94+EC74+EC73+EC75+EC70+EC56+EC51+EC40+EC33+(ROZPOČET23návrh!AF22)*(-1)</f>
        <v>186980</v>
      </c>
      <c r="ED339" s="347">
        <f>ED276+ED284+ED303+ED291+ED200+ED201+ED88+ED89+ED323+ED296+ED319+ED34+ED325+ED324+ED322+ED314+ED299+ED288+ED280+ED277+ED275+ED274+ED273+ED267+ED265+ED264+ED263+ED262+ED261+ED228+ED227+ED226+ED208+ED207+ED206+ED205+ED189+ED180+ED174+ED173+ED167+ED166+ED165+ED164+ED155+ED158+ED152+ED134+ED107+ED106+ED105+ED95+ED94+ED74+ED73+ED75+ED70+ED56+ED51+ED40+ED33+(ROZPOČET23návrh!AG22)*(-1)</f>
        <v>4371421.0999999996</v>
      </c>
      <c r="EF339" s="347">
        <f>EF276+EF284+EF303+EF291+EF200+EF201+EF88+EF89+EF323+EF296+EF319+EF34+EF325+EF324+EF322+EF314+EF299+EF288+EF280+EF277+EF275+EF274+EF273+EF267+EF265+EF264+EF263+EF262+EF261+EF228+EF227+EF226+EF208+EF207+EF206+EF205+EF189+EF180+EF174+EF173+EF167+EF166+EF165+EF164+EF155+EF158+EF152+EF134+EF107+EF106+EF105+EF95+EF94+EF74+EF73+EF75+EF70+EF56+EF51+EF40+EF33+(ROZPOČET23návrh!AI22)*(-1)</f>
        <v>43365</v>
      </c>
      <c r="EG339" s="347">
        <f>EG276+EG284+EG303+EG291+EG200+EG201+EG88+EG89+EG323+EG296+EG319+EG34+EG325+EG324+EG322+EG314+EG299+EG288+EG280+EG277+EG275+EG274+EG273+EG267+EG265+EG264+EG263+EG262+EG261+EG228+EG227+EG226+EG208+EG207+EG206+EG205+EG189+EG180+EG174+EG173+EG167+EG166+EG165+EG164+EG155+EG158+EG152+EG134+EG107+EG106+EG105+EG95+EG94+EG74+EG73+EG75+EG70+EG56+EG51+EG40+EG33+(ROZPOČET23návrh!AJ22)*(-1)</f>
        <v>4414786.0999999996</v>
      </c>
      <c r="EI339" s="347">
        <f>EI276+EI284+EI303+EI291+EI200+EI201+EI88+EI89+EI323+EI296+EI319+EI34+EI325+EI324+EI322+EI314+EI299+EI288+EI280+EI277+EI275+EI274+EI273+EI267+EI265+EI264+EI263+EI262+EI261+EI228+EI227+EI226+EI208+EI207+EI206+EI205+EI189+EI180+EI174+EI173+EI167+EI166+EI165+EI164+EI155+EI158+EI152+EI134+EI107+EI106+EI105+EI95+EI94+EI74+EI73+EI75+EI70+EI56+EI51+EI40+EI33+(ROZPOČET23návrh!AL22)*(-1)</f>
        <v>4295084.17</v>
      </c>
      <c r="EK339" s="347">
        <f>EK276+EK284+EK303+EK291+EK200+EK201+EK88+EK89+EK323+EK296+EK319+EK34+EK325+EK324+EK322+EK314+EK299+EK288+EK280+EK277+EK275+EK274+EK273+EK267+EK265+EK264+EK263+EK262+EK261+EK228+EK227+EK226+EK208+EK207+EK206+EK205+EK189+EK180+EK174+EK173+EK167+EK166+EK165+EK164+EK155+EK158+EK152+EK134+EK107+EK106+EK105+EK95+EK94+EK74+EK73+EK75+EK70+EK56+EK51+EK40+EK33+EK315+EK307+EK231+EK235+EK236+EK237+EK175+EK146+EK47</f>
        <v>6325220.0999999996</v>
      </c>
      <c r="EM339" s="347">
        <f>EM276+EM284+EM303+EM291+EM200+EM201+EM88+EM89+EM323+EM296+EM319+EM34+EM325+EM324+EM322+EM314+EM299+EM288+EM280+EM277+EM275+EM274+EM273+EM267+EM265+EM264+EM263+EM262+EM261+EM228+EM227+EM226+EM208+EM207+EM206+EM205+EM189+EM180+EM174+EM173+EM167+EM166+EM165+EM164+EM155+EM158+EM152+EM134+EM107+EM106+EM105+EM95+EM94+EM74+EM73+EM75+EM70+EM56+EM51+EM40+EM33+EM315+EM307+EM231+EM235+EM236+EM237+EM175+EM146+EM47</f>
        <v>63080</v>
      </c>
      <c r="EN339" s="347">
        <f>EN276+EN284+EN303+EN291+EN200+EN201+EN88+EN89+EN323+EN296+EN319+EN34+EN325+EN324+EN322+EN314+EN299+EN288+EN280+EN277+EN275+EN274+EN273+EN267+EN265+EN264+EN263+EN262+EN261+EN228+EN227+EN226+EN208+EN207+EN206+EN205+EN189+EN180+EN174+EN173+EN167+EN166+EN165+EN164+EN155+EN158+EN152+EN134+EN107+EN106+EN105+EN95+EN94+EN74+EN73+EN75+EN70+EN56+EN51+EN40+EN33+EN315+EN307+EN231+EN235+EN236+EN237+EN175+EN146+EN47</f>
        <v>6388300.0999999996</v>
      </c>
      <c r="EP339" s="347">
        <f>EP276+EP284+EP303+EP291+EP200+EP201+EP88+EP89+EP323+EP296+EP319+EP34+EP325+EP324+EP322+EP314+EP299+EP288+EP280+EP277+EP275+EP274+EP273+EP267+EP265+EP264+EP263+EP262+EP261+EP228+EP227+EP226+EP208+EP207+EP206+EP205+EP189+EP180+EP174+EP173+EP167+EP166+EP165+EP164+EP155+EP158+EP152+EP134+EP107+EP106+EP105+EP95+EP94+EP74+EP73+EP75+EP70+EP56+EP51+EP40+EP33+EP315+EP307+EP231+EP235+EP236+EP237+EP175+EP146+EP47</f>
        <v>129700</v>
      </c>
      <c r="EQ339" s="347">
        <f>EQ276+EQ284+EQ303+EQ291+EQ200+EQ201+EQ88+EQ89+EQ323+EQ296+EQ319+EQ34+EQ325+EQ324+EQ322+EQ314+EQ299+EQ288+EQ280+EQ277+EQ275+EQ274+EQ273+EQ267+EQ265+EQ264+EQ263+EQ262+EQ261+EQ228+EQ227+EQ226+EQ208+EQ207+EQ206+EQ205+EQ189+EQ180+EQ174+EQ173+EQ167+EQ166+EQ165+EQ164+EQ155+EQ158+EQ152+EQ134+EQ107+EQ106+EQ105+EQ95+EQ94+EQ74+EQ73+EQ75+EQ70+EQ56+EQ51+EQ40+EQ33+EQ315+EQ307+EQ231+EQ235+EQ236+EQ237+EQ175+EQ146+EQ47</f>
        <v>6518000.0999999996</v>
      </c>
      <c r="ES339" s="347">
        <f>ES276+ES284+ES303+ES291+ES200+ES201+ES88+ES89+ES323+ES296+ES319+ES34+ES325+ES324+ES322+ES314+ES299+ES288+ES280+ES277+ES275+ES274+ES273+ES267+ES265+ES264+ES263+ES262+ES261+ES228+ES227+ES226+ES208+ES207+ES206+ES205+ES189+ES180+ES174+ES173+ES167+ES166+ES165+ES164+ES155+ES158+ES152+ES134+ES107+ES106+ES105+ES95+ES94+ES74+ES73+ES75+ES70+ES56+ES51+ES40+ES33+ES315+ES307+ES231+ES235+ES236+ES237+ES175+ES146+ES47</f>
        <v>800</v>
      </c>
      <c r="ET339" s="347">
        <f>ET276+ET284+ET303+ET291+ET200+ET201+ET88+ET89+ET323+ET296+ET319+ET34+ET325+ET324+ET322+ET314+ET299+ET288+ET280+ET277+ET275+ET274+ET273+ET267+ET265+ET264+ET263+ET262+ET261+ET228+ET227+ET226+ET208+ET207+ET206+ET205+ET189+ET180+ET174+ET173+ET167+ET166+ET165+ET164+ET155+ET158+ET152+ET134+ET107+ET106+ET105+ET95+ET94+ET74+ET73+ET75+ET70+ET56+ET51+ET40+ET33+ET315+ET307+ET231+ET235+ET236+ET237+ET175+ET146+ET47</f>
        <v>6518800.0999999996</v>
      </c>
      <c r="EV339" s="347">
        <f>EV276+EV284+EV303+EV291+EV200+EV201+EV88+EV89+EV323+EV296+EV319+EV34+EV325+EV324+EV322+EV314+EV299+EV288+EV280+EV277+EV275+EV274+EV273+EV267+EV265+EV264+EV263+EV262+EV261+EV228+EV227+EV226+EV208+EV207+EV206+EV205+EV189+EV180+EV174+EV173+EV167+EV166+EV165+EV164+EV155+EV158+EV152+EV134+EV107+EV106+EV105+EV95+EV94+EV74+EV73+EV75+EV70+EV56+EV51+EV40+EV33+EV315+EV307+EV231+EV235+EV236+EV237+EV175+EV146+EV47</f>
        <v>-195416</v>
      </c>
      <c r="EW339" s="347">
        <f>EW276+EW284+EW303+EW291+EW200+EW201+EW88+EW89+EW323+EW296+EW319+EW34+EW325+EW324+EW322+EW314+EW299+EW288+EW280+EW277+EW275+EW274+EW273+EW267+EW265+EW264+EW263+EW262+EW261+EW228+EW227+EW226+EW208+EW207+EW206+EW205+EW189+EW180+EW174+EW173+EW167+EW166+EW165+EW164+EW155+EW158+EW152+EW134+EW107+EW106+EW105+EW95+EW94+EW74+EW73+EW75+EW70+EW56+EW51+EW40+EW33+EW315+EW307+EW231+EW235+EW236+EW237+EW175+EW146+EW47</f>
        <v>6323384.0999999996</v>
      </c>
      <c r="EY339" s="347">
        <f>EY276+EY284+EY303+EY291+EY200+EY201+EY88+EY89+EY323+EY296+EY319+EY34+EY325+EY324+EY322+EY314+EY299+EY288+EY280+EY277+EY275+EY274+EY273+EY267+EY265+EY264+EY263+EY262+EY261+EY228+EY227+EY226+EY208+EY207+EY206+EY205+EY189+EY180+EY174+EY173+EY167+EY166+EY165+EY164+EY155+EY158+EY152+EY134+EY107+EY106+EY105+EY95+EY94+EY74+EY73+EY75+EY70+EY56+EY51+EY40+EY33+EY315+EY307+EY231+EY235+EY236+EY237+EY175+EY146+EY47</f>
        <v>2500</v>
      </c>
      <c r="EZ339" s="347">
        <f>EZ276+EZ284+EZ303+EZ291+EZ200+EZ201+EZ88+EZ89+EZ323+EZ296+EZ319+EZ34+EZ325+EZ324+EZ322+EZ314+EZ299+EZ288+EZ280+EZ277+EZ275+EZ274+EZ273+EZ267+EZ265+EZ264+EZ263+EZ262+EZ261+EZ228+EZ227+EZ226+EZ208+EZ207+EZ206+EZ205+EZ189+EZ180+EZ174+EZ173+EZ167+EZ166+EZ165+EZ164+EZ155+EZ158+EZ152+EZ134+EZ107+EZ106+EZ105+EZ95+EZ94+EZ74+EZ73+EZ75+EZ70+EZ56+EZ51+EZ40+EZ33+EZ315+EZ307+EZ231+EZ235+EZ236+EZ237+EZ175+EZ146+EZ47</f>
        <v>6325884.0999999996</v>
      </c>
      <c r="FB339" s="347">
        <f>FB276+FB284+FB303+FB291+FB200+FB201+FB88+FB89+FB323+FB296+FB319+FB34+FB325+FB324+FB322+FB314+FB299+FB288+FB280+FB277+FB275+FB274+FB273+FB267+FB265+FB264+FB263+FB262+FB261+FB228+FB227+FB226+FB208+FB207+FB206+FB205+FB189+FB180+FB174+FB173+FB167+FB166+FB165+FB164+FB155+FB158+FB152+FB134+FB107+FB106+FB105+FB95+FB94+FB74+FB73+FB75+FB70+FB56+FB51+FB40+FB33+FB315+FB307+FB231+FB235+FB236+FB237+FB175+FB146+FB47</f>
        <v>92000</v>
      </c>
      <c r="FC339" s="347">
        <f>FC276+FC284+FC303+FC291+FC200+FC201+FC88+FC89+FC323+FC296+FC319+FC34+FC325+FC324+FC322+FC314+FC299+FC288+FC280+FC277+FC275+FC274+FC273+FC267+FC265+FC264+FC263+FC262+FC261+FC228+FC227+FC226+FC208+FC207+FC206+FC205+FC189+FC180+FC174+FC173+FC167+FC166+FC165+FC164+FC155+FC158+FC152+FC134+FC107+FC106+FC105+FC95+FC94+FC74+FC73+FC75+FC70+FC56+FC51+FC40+FC33+FC315+FC307+FC231+FC235+FC236+FC237+FC175+FC146+FC47</f>
        <v>6417884.0999999996</v>
      </c>
      <c r="FE339" s="347">
        <f>FE276+FE284+FE303+FE291+FE200+FE201+FE88+FE89+FE323+FE296+FE319+FE34+FE325+FE324+FE322+FE314+FE299+FE288+FE280+FE277+FE275+FE274+FE273+FE267+FE265+FE264+FE263+FE262+FE261+FE228+FE227+FE226+FE208+FE207+FE206+FE205+FE189+FE180+FE174+FE173+FE167+FE166+FE165+FE164+FE155+FE158+FE152+FE134+FE107+FE106+FE105+FE95+FE94+FE74+FE73+FE75+FE70+FE56+FE51+FE40+FE33+FE315+FE307+FE231+FE235+FE236+FE237+FE175+FE146+FE47</f>
        <v>-8000</v>
      </c>
      <c r="FF339" s="347">
        <f>FF276+FF284+FF303+FF291+FF200+FF201+FF88+FF89+FF323+FF296+FF319+FF34+FF325+FF324+FF322+FF314+FF299+FF288+FF280+FF277+FF275+FF274+FF273+FF267+FF265+FF264+FF263+FF262+FF261+FF228+FF227+FF226+FF208+FF207+FF206+FF205+FF189+FF180+FF174+FF173+FF167+FF166+FF165+FF164+FF155+FF158+FF152+FF134+FF107+FF106+FF105+FF95+FF94+FF74+FF73+FF75+FF70+FF56+FF51+FF40+FF33+FF315+FF307+FF231+FF235+FF236+FF237+FF175+FF146+FF47</f>
        <v>6409884.0999999996</v>
      </c>
      <c r="FH339" s="347">
        <f>FH276+FH284+FH303+FH291+FH200+FH201+FH88+FH89+FH323+FH296+FH319+FH34+FH325+FH324+FH322+FH314+FH299+FH288+FH280+FH277+FH275+FH274+FH273+FH267+FH265+FH264+FH263+FH262+FH261+FH228+FH227+FH226+FH208+FH207+FH206+FH205+FH189+FH180+FH174+FH173+FH167+FH166+FH165+FH164+FH155+FH158+FH152+FH134+FH107+FH106+FH105+FH95+FH94+FH74+FH73+FH75+FH70+FH56+FH51+FH40+FH33+FH315+FH307+FH231+FH235+FH236+FH237+FH175+FH146+FH47</f>
        <v>-26000</v>
      </c>
      <c r="FI339" s="347">
        <f>FI276+FI284+FI303+FI291+FI200+FI201+FI88+FI89+FI323+FI296+FI319+FI34+FI325+FI324+FI322+FI314+FI299+FI288+FI280+FI277+FI275+FI274+FI273+FI267+FI265+FI264+FI263+FI262+FI261+FI228+FI227+FI226+FI208+FI207+FI206+FI205+FI189+FI180+FI174+FI173+FI167+FI166+FI165+FI164+FI155+FI158+FI152+FI134+FI107+FI106+FI105+FI95+FI94+FI74+FI73+FI75+FI70+FI56+FI51+FI40+FI33+FI315+FI307+FI231+FI235+FI236+FI237+FI175+FI146+FI47</f>
        <v>6383884.0999999996</v>
      </c>
      <c r="FK339" s="347">
        <f>FK276+FK284+FK303+FK291+FK200+FK201+FK88+FK89+FK323+FK296+FK319+FK34+FK325+FK324+FK322+FK314+FK299+FK288+FK280+FK277+FK275+FK274+FK273+FK267+FK265+FK264+FK263+FK262+FK261+FK228+FK227+FK226+FK208+FK207+FK206+FK205+FK189+FK180+FK174+FK173+FK167+FK166+FK165+FK164+FK155+FK158+FK152+FK134+FK107+FK106+FK105+FK95+FK94+FK74+FK73+FK75+FK70+FK56+FK51+FK40+FK33+FK315+FK307+FK231+FK235+FK236+FK237+FK175+FK146+FK47</f>
        <v>137333</v>
      </c>
      <c r="FL339" s="347">
        <f>FL276+FL284+FL303+FL291+FL200+FL201+FL88+FL89+FL323+FL296+FL319+FL34+FL325+FL324+FL322+FL314+FL299+FL288+FL280+FL277+FL275+FL274+FL273+FL267+FL265+FL264+FL263+FL262+FL261+FL228+FL227+FL226+FL208+FL207+FL206+FL205+FL189+FL180+FL174+FL173+FL167+FL166+FL165+FL164+FL155+FL158+FL152+FL134+FL107+FL106+FL105+FL95+FL94+FL74+FL73+FL75+FL70+FL56+FL51+FL40+FL33+FL315+FL307+FL231+FL235+FL236+FL237+FL175+FL146+FL47</f>
        <v>6521217.0999999996</v>
      </c>
      <c r="FN339" s="347">
        <f>FN276+FN284+FN303+FN291+FN200+FN201+FN88+FN89+FN323+FN296+FN319+FN34+FN325+FN324+FN322+FN314+FN299+FN288+FN280+FN277+FN275+FN274+FN273+FN267+FN265+FN264+FN263+FN262+FN261+FN228+FN227+FN226+FN208+FN207+FN206+FN205+FN189+FN180+FN174+FN173+FN167+FN166+FN165+FN164+FN155+FN158+FN152+FN134+FN107+FN106+FN105+FN95+FN94+FN74+FN73+FN75+FN70+FN56+FN51+FN40+FN33+FN315+FN307+FN231+FN235+FN236+FN237+FN175+FN146+FN47</f>
        <v>-7300</v>
      </c>
      <c r="FO339" s="347">
        <f>FO276+FO284+FO303+FO291+FO200+FO201+FO88+FO89+FO323+FO296+FO319+FO34+FO325+FO324+FO322+FO314+FO299+FO288+FO280+FO277+FO275+FO274+FO273+FO267+FO265+FO264+FO263+FO262+FO261+FO228+FO227+FO226+FO208+FO207+FO206+FO205+FO189+FO180+FO174+FO173+FO167+FO166+FO165+FO164+FO155+FO158+FO152+FO134+FO107+FO106+FO105+FO95+FO94+FO74+FO73+FO75+FO70+FO56+FO51+FO40+FO33+FO315+FO307+FO231+FO235+FO236+FO237+FO175+FO146+FO47</f>
        <v>6513917.0999999996</v>
      </c>
      <c r="FQ339" s="347">
        <f>FQ276+FQ284+FQ303+FQ291+FQ200+FQ201+FQ88+FQ89+FQ323+FQ296+FQ319+FQ34+FQ325+FQ324+FQ322+FQ314+FQ299+FQ288+FQ280+FQ277+FQ275+FQ274+FQ273+FQ267+FQ265+FQ264+FQ263+FQ262+FQ261+FQ228+FQ227+FQ226+FQ208+FQ207+FQ206+FQ205+FQ189+FQ180+FQ174+FQ173+FQ167+FQ166+FQ165+FQ164+FQ155+FQ158+FQ152+FQ134+FQ107+FQ106+FQ105+FQ95+FQ94+FQ74+FQ73+FQ75+FQ70+FQ56+FQ51+FQ40+FQ33+FQ315+FQ307+FQ231+FQ235+FQ236+FQ237+FQ175+FQ146+FQ47</f>
        <v>10950</v>
      </c>
      <c r="FR339" s="347">
        <f>FR276+FR284+FR303+FR291+FR200+FR201+FR88+FR89+FR323+FR296+FR319+FR34+FR325+FR324+FR322+FR314+FR299+FR288+FR280+FR277+FR275+FR274+FR273+FR267+FR265+FR264+FR263+FR262+FR261+FR228+FR227+FR226+FR208+FR207+FR206+FR205+FR189+FR180+FR174+FR173+FR167+FR166+FR165+FR164+FR155+FR158+FR152+FR134+FR107+FR106+FR105+FR95+FR94+FR74+FR73+FR75+FR70+FR56+FR51+FR40+FR33+FR315+FR307+FR231+FR235+FR236+FR237+FR175+FR146+FR47</f>
        <v>6524867.0999999996</v>
      </c>
      <c r="FT339" s="347">
        <f>FT276+FT284+FT303+FT291+FT200+FT201+FT88+FT89+FT323+FT296+FT319+FT34+FT325+FT324+FT322+FT314+FT299+FT288+FT280+FT277+FT275+FT274+FT273+FT267+FT265+FT264+FT263+FT262+FT261+FT228+FT227+FT226+FT208+FT207+FT206+FT205+FT189+FT180+FT174+FT173+FT167+FT166+FT165+FT164+FT155+FT158+FT152+FT134+FT107+FT106+FT105+FT95+FT94+FT74+FT73+FT75+FT70+FT56+FT51+FT40+FT33+FT315+FT307+FT231+FT235+FT236+FT237+FT175+FT146+FT47</f>
        <v>6337295.5999999996</v>
      </c>
      <c r="FV339" s="347">
        <f>FV276+FV284+FV303+FV291+FV200+FV201+FV88+FV89+FV323+FV296+FV319+FV34+FV325+FV324+FV322+FV314+FV299+FV288+FV280+FV277+FV275+FV274+FV273+FV267+FV265+FV264+FV263+FV262+FV261+FV228+FV227+FV226+FV208+FV207+FV206+FV205+FV189+FV180+FV174+FV173+FV167+FV166+FV165+FV164+FV155+FV158+FV152+FV134+FV107+FV106+FV105+FV95+FV94+FV74+FV73+FV75+FV70+FV56+FV51+FV40+FV33+FV315+FV307+FV231+FV235+FV236+FV237+FV175+FV146+FV47</f>
        <v>5292269.4000000004</v>
      </c>
      <c r="FW339" s="235">
        <f t="shared" ref="FW339" si="1585">FV339/FT339</f>
        <v>0.8350990286771538</v>
      </c>
    </row>
    <row r="340" spans="1:179">
      <c r="AH340" s="15">
        <f>AH309+AH310</f>
        <v>1269500</v>
      </c>
    </row>
    <row r="341" spans="1:179">
      <c r="AC341" s="185">
        <f>SUM(AC5:AC340)</f>
        <v>291810</v>
      </c>
      <c r="AD341" s="185"/>
      <c r="AF341" s="184">
        <f>SUM(AF5:AF331)</f>
        <v>97550</v>
      </c>
      <c r="AH341" s="15"/>
      <c r="BJ341" s="15">
        <f>BJ332+BJ309+BJ310</f>
        <v>5454014.4800000004</v>
      </c>
    </row>
  </sheetData>
  <autoFilter ref="A4:GJ330" xr:uid="{00000000-0009-0000-0000-00000C000000}"/>
  <mergeCells count="8">
    <mergeCell ref="AE3:AF3"/>
    <mergeCell ref="AA3:AB3"/>
    <mergeCell ref="A1:H1"/>
    <mergeCell ref="D2:H2"/>
    <mergeCell ref="A330:C330"/>
    <mergeCell ref="O231:O236"/>
    <mergeCell ref="C92:Q92"/>
    <mergeCell ref="C84:W84"/>
  </mergeCells>
  <pageMargins left="0.17" right="0.17" top="0.23" bottom="0.21" header="0.17" footer="0.17"/>
  <pageSetup paperSize="9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29"/>
  <sheetViews>
    <sheetView workbookViewId="0"/>
  </sheetViews>
  <sheetFormatPr defaultRowHeight="15"/>
  <cols>
    <col min="2" max="2" width="20" bestFit="1" customWidth="1"/>
    <col min="3" max="3" width="9.140625" style="15"/>
    <col min="7" max="7" width="9.140625" style="15"/>
  </cols>
  <sheetData>
    <row r="2" spans="1:8">
      <c r="A2" t="s">
        <v>545</v>
      </c>
      <c r="G2" s="15" t="s">
        <v>537</v>
      </c>
    </row>
    <row r="3" spans="1:8">
      <c r="A3">
        <v>221</v>
      </c>
      <c r="B3" s="4" t="s">
        <v>121</v>
      </c>
      <c r="C3" s="15">
        <v>30000</v>
      </c>
      <c r="D3" t="s">
        <v>536</v>
      </c>
    </row>
    <row r="4" spans="1:8">
      <c r="C4" s="15">
        <v>100000</v>
      </c>
      <c r="D4" t="s">
        <v>535</v>
      </c>
    </row>
    <row r="5" spans="1:8">
      <c r="C5" s="289">
        <v>115000</v>
      </c>
      <c r="D5" t="s">
        <v>534</v>
      </c>
      <c r="G5" s="15">
        <v>54000</v>
      </c>
      <c r="H5" t="s">
        <v>523</v>
      </c>
    </row>
    <row r="7" spans="1:8">
      <c r="A7">
        <v>3319</v>
      </c>
      <c r="B7" t="s">
        <v>533</v>
      </c>
      <c r="C7" s="15">
        <v>0</v>
      </c>
      <c r="D7" t="s">
        <v>532</v>
      </c>
    </row>
    <row r="9" spans="1:8">
      <c r="A9">
        <v>3613</v>
      </c>
      <c r="B9" t="s">
        <v>174</v>
      </c>
      <c r="C9" s="289">
        <v>1720000</v>
      </c>
      <c r="D9" t="s">
        <v>531</v>
      </c>
      <c r="G9" s="141">
        <v>1145000</v>
      </c>
      <c r="H9" t="s">
        <v>530</v>
      </c>
    </row>
    <row r="10" spans="1:8">
      <c r="C10" s="289">
        <v>315000</v>
      </c>
      <c r="D10" t="s">
        <v>529</v>
      </c>
    </row>
    <row r="12" spans="1:8">
      <c r="A12">
        <v>3636</v>
      </c>
      <c r="B12" t="s">
        <v>507</v>
      </c>
      <c r="C12" s="289">
        <v>311000</v>
      </c>
      <c r="D12" t="s">
        <v>528</v>
      </c>
      <c r="G12" s="15">
        <v>155500</v>
      </c>
      <c r="H12" t="s">
        <v>523</v>
      </c>
    </row>
    <row r="14" spans="1:8">
      <c r="A14">
        <v>3639</v>
      </c>
      <c r="B14" t="s">
        <v>540</v>
      </c>
      <c r="C14" s="15">
        <f>Rozpis_Výdaje!BM144</f>
        <v>500000</v>
      </c>
      <c r="D14" t="s">
        <v>541</v>
      </c>
      <c r="H14" t="s">
        <v>542</v>
      </c>
    </row>
    <row r="17" spans="1:8">
      <c r="A17">
        <v>3745</v>
      </c>
      <c r="B17" t="s">
        <v>527</v>
      </c>
      <c r="C17" s="289">
        <v>1590000</v>
      </c>
      <c r="D17" t="s">
        <v>526</v>
      </c>
      <c r="G17" s="15">
        <v>1400000</v>
      </c>
      <c r="H17" t="s">
        <v>546</v>
      </c>
    </row>
    <row r="18" spans="1:8">
      <c r="C18" s="289">
        <v>35400</v>
      </c>
      <c r="D18" t="s">
        <v>538</v>
      </c>
      <c r="H18" s="15" t="s">
        <v>539</v>
      </c>
    </row>
    <row r="19" spans="1:8">
      <c r="H19" s="15"/>
    </row>
    <row r="20" spans="1:8">
      <c r="A20">
        <v>5512</v>
      </c>
      <c r="B20" t="s">
        <v>525</v>
      </c>
      <c r="C20" s="141">
        <v>29000</v>
      </c>
      <c r="D20" t="s">
        <v>524</v>
      </c>
      <c r="G20" s="15">
        <v>28500</v>
      </c>
      <c r="H20" t="s">
        <v>523</v>
      </c>
    </row>
    <row r="22" spans="1:8">
      <c r="A22">
        <v>6330</v>
      </c>
      <c r="B22" t="s">
        <v>522</v>
      </c>
      <c r="C22" s="227">
        <v>350000</v>
      </c>
      <c r="D22" t="s">
        <v>521</v>
      </c>
      <c r="G22" s="15">
        <v>90400</v>
      </c>
      <c r="H22" t="s">
        <v>520</v>
      </c>
    </row>
    <row r="25" spans="1:8">
      <c r="B25" t="s">
        <v>519</v>
      </c>
      <c r="C25" s="15">
        <f>SUM(C3:C24)</f>
        <v>5095400</v>
      </c>
      <c r="G25" s="15">
        <f>SUM(G3:G24)</f>
        <v>2873400</v>
      </c>
    </row>
    <row r="29" spans="1:8">
      <c r="B29" t="s">
        <v>543</v>
      </c>
      <c r="C29" s="15" t="s">
        <v>544</v>
      </c>
    </row>
  </sheetData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C7"/>
  <sheetViews>
    <sheetView workbookViewId="0"/>
  </sheetViews>
  <sheetFormatPr defaultRowHeight="15"/>
  <sheetData>
    <row r="2" spans="1:3">
      <c r="A2" s="15" t="s">
        <v>583</v>
      </c>
      <c r="B2" s="15">
        <v>53068</v>
      </c>
      <c r="C2" s="15">
        <f>B2*12</f>
        <v>636816</v>
      </c>
    </row>
    <row r="3" spans="1:3">
      <c r="A3" s="15" t="s">
        <v>584</v>
      </c>
      <c r="B3" s="15">
        <v>13026</v>
      </c>
      <c r="C3" s="15">
        <f t="shared" ref="C3:C6" si="0">B3*12</f>
        <v>156312</v>
      </c>
    </row>
    <row r="4" spans="1:3">
      <c r="A4" s="15" t="s">
        <v>585</v>
      </c>
      <c r="B4" s="15">
        <v>650</v>
      </c>
      <c r="C4" s="15">
        <f t="shared" si="0"/>
        <v>7800</v>
      </c>
    </row>
    <row r="5" spans="1:3">
      <c r="A5" s="15" t="s">
        <v>586</v>
      </c>
      <c r="B5" s="15">
        <v>650</v>
      </c>
      <c r="C5" s="15">
        <f t="shared" si="0"/>
        <v>7800</v>
      </c>
    </row>
    <row r="6" spans="1:3">
      <c r="A6" s="15" t="s">
        <v>587</v>
      </c>
      <c r="B6" s="15">
        <v>500</v>
      </c>
      <c r="C6" s="15">
        <f t="shared" si="0"/>
        <v>6000</v>
      </c>
    </row>
    <row r="7" spans="1:3">
      <c r="A7" s="15"/>
      <c r="B7" s="15"/>
      <c r="C7" s="15">
        <f>SUM(C2:C6)</f>
        <v>814728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workbookViewId="0">
      <selection sqref="A1:F1"/>
    </sheetView>
  </sheetViews>
  <sheetFormatPr defaultRowHeight="15"/>
  <cols>
    <col min="2" max="2" width="23.42578125" bestFit="1" customWidth="1"/>
    <col min="3" max="3" width="16.140625" customWidth="1"/>
    <col min="4" max="4" width="14.85546875" customWidth="1"/>
    <col min="5" max="5" width="16.42578125" customWidth="1"/>
    <col min="6" max="6" width="18.42578125" customWidth="1"/>
  </cols>
  <sheetData>
    <row r="1" spans="1:6" ht="23.25">
      <c r="A1" s="431" t="s">
        <v>465</v>
      </c>
      <c r="B1" s="431"/>
      <c r="C1" s="431"/>
      <c r="D1" s="431"/>
      <c r="E1" s="431"/>
      <c r="F1" s="431"/>
    </row>
    <row r="2" spans="1:6" ht="23.25">
      <c r="A2" s="431" t="s">
        <v>508</v>
      </c>
      <c r="B2" s="431"/>
      <c r="C2" s="431"/>
      <c r="D2" s="431"/>
      <c r="E2" s="431"/>
      <c r="F2" s="431"/>
    </row>
    <row r="3" spans="1:6" ht="15.75" thickBot="1"/>
    <row r="4" spans="1:6" ht="15.75">
      <c r="A4" s="84"/>
      <c r="B4" s="85"/>
      <c r="C4" s="433" t="s">
        <v>514</v>
      </c>
      <c r="D4" s="434"/>
      <c r="E4" s="433" t="s">
        <v>384</v>
      </c>
      <c r="F4" s="434"/>
    </row>
    <row r="5" spans="1:6" ht="30.75" thickBot="1">
      <c r="A5" s="86"/>
      <c r="B5" s="87" t="s">
        <v>260</v>
      </c>
      <c r="C5" s="245" t="str">
        <f>ROZPOČET23návrh!E4</f>
        <v>skutečnost 2022</v>
      </c>
      <c r="D5" s="246">
        <v>2022</v>
      </c>
      <c r="E5" s="247">
        <v>2023</v>
      </c>
      <c r="F5" s="246">
        <v>2024</v>
      </c>
    </row>
    <row r="6" spans="1:6">
      <c r="A6" s="89" t="s">
        <v>364</v>
      </c>
      <c r="B6" s="90" t="s">
        <v>365</v>
      </c>
      <c r="C6" s="250">
        <f>VÝHLED23návrh!E6</f>
        <v>6300000</v>
      </c>
      <c r="D6" s="251">
        <f>VÝHLED23návrh!F6</f>
        <v>6600000</v>
      </c>
      <c r="E6" s="251" t="e">
        <f>VÝHLED23návrh!#REF!</f>
        <v>#REF!</v>
      </c>
      <c r="F6" s="252" t="e">
        <f>VÝHLED23návrh!#REF!</f>
        <v>#REF!</v>
      </c>
    </row>
    <row r="7" spans="1:6">
      <c r="A7" s="93" t="s">
        <v>366</v>
      </c>
      <c r="B7" s="94" t="s">
        <v>367</v>
      </c>
      <c r="C7" s="253">
        <f>VÝHLED23návrh!E7</f>
        <v>500000</v>
      </c>
      <c r="D7" s="248">
        <f>VÝHLED23návrh!F7</f>
        <v>500000</v>
      </c>
      <c r="E7" s="248" t="e">
        <f>VÝHLED23návrh!#REF!</f>
        <v>#REF!</v>
      </c>
      <c r="F7" s="254" t="e">
        <f>VÝHLED23návrh!#REF!</f>
        <v>#REF!</v>
      </c>
    </row>
    <row r="8" spans="1:6">
      <c r="A8" s="93" t="s">
        <v>368</v>
      </c>
      <c r="B8" s="94" t="s">
        <v>369</v>
      </c>
      <c r="C8" s="253">
        <f>VÝHLED23návrh!E8</f>
        <v>50000</v>
      </c>
      <c r="D8" s="248">
        <f>VÝHLED23návrh!F8</f>
        <v>50000</v>
      </c>
      <c r="E8" s="248" t="e">
        <f>VÝHLED23návrh!#REF!</f>
        <v>#REF!</v>
      </c>
      <c r="F8" s="254" t="e">
        <f>VÝHLED23návrh!#REF!</f>
        <v>#REF!</v>
      </c>
    </row>
    <row r="9" spans="1:6" ht="15.75" thickBot="1">
      <c r="A9" s="96" t="s">
        <v>370</v>
      </c>
      <c r="B9" s="97" t="s">
        <v>371</v>
      </c>
      <c r="C9" s="257">
        <f>VÝHLED23návrh!E9</f>
        <v>88000</v>
      </c>
      <c r="D9" s="258">
        <f>VÝHLED23návrh!F9</f>
        <v>90000</v>
      </c>
      <c r="E9" s="258" t="e">
        <f>VÝHLED23návrh!#REF!</f>
        <v>#REF!</v>
      </c>
      <c r="F9" s="259" t="e">
        <f>VÝHLED23návrh!#REF!</f>
        <v>#REF!</v>
      </c>
    </row>
    <row r="10" spans="1:6" ht="16.5" thickBot="1">
      <c r="A10" s="267"/>
      <c r="B10" s="263" t="s">
        <v>372</v>
      </c>
      <c r="C10" s="264">
        <f>SUM(C6:C9)</f>
        <v>6938000</v>
      </c>
      <c r="D10" s="265">
        <f>SUM(D6:D9)</f>
        <v>7240000</v>
      </c>
      <c r="E10" s="265" t="e">
        <f>SUM(E6:E9)</f>
        <v>#REF!</v>
      </c>
      <c r="F10" s="266" t="e">
        <f>SUM(F6:F9)</f>
        <v>#REF!</v>
      </c>
    </row>
    <row r="11" spans="1:6">
      <c r="A11" s="89" t="s">
        <v>373</v>
      </c>
      <c r="B11" s="90" t="s">
        <v>374</v>
      </c>
      <c r="C11" s="255">
        <f>VÝHLED23návrh!E11</f>
        <v>6193000</v>
      </c>
      <c r="D11" s="249">
        <f>VÝHLED23návrh!F11</f>
        <v>6025000</v>
      </c>
      <c r="E11" s="249" t="e">
        <f>VÝHLED23návrh!#REF!</f>
        <v>#REF!</v>
      </c>
      <c r="F11" s="256" t="e">
        <f>VÝHLED23návrh!#REF!</f>
        <v>#REF!</v>
      </c>
    </row>
    <row r="12" spans="1:6" ht="15.75" thickBot="1">
      <c r="A12" s="96" t="s">
        <v>375</v>
      </c>
      <c r="B12" s="97" t="s">
        <v>376</v>
      </c>
      <c r="C12" s="257">
        <f>VÝHLED23návrh!E12</f>
        <v>500000</v>
      </c>
      <c r="D12" s="258">
        <f>VÝHLED23návrh!F12</f>
        <v>970000</v>
      </c>
      <c r="E12" s="258" t="e">
        <f>VÝHLED23návrh!#REF!</f>
        <v>#REF!</v>
      </c>
      <c r="F12" s="259" t="e">
        <f>VÝHLED23návrh!#REF!</f>
        <v>#REF!</v>
      </c>
    </row>
    <row r="13" spans="1:6" ht="16.5" thickBot="1">
      <c r="A13" s="267"/>
      <c r="B13" s="263" t="s">
        <v>377</v>
      </c>
      <c r="C13" s="264">
        <f>SUM(C11:C12)</f>
        <v>6693000</v>
      </c>
      <c r="D13" s="265">
        <f>SUM(D11:D12)</f>
        <v>6995000</v>
      </c>
      <c r="E13" s="265" t="e">
        <f>SUM(E11:E12)</f>
        <v>#REF!</v>
      </c>
      <c r="F13" s="266" t="e">
        <f>SUM(F11:F12)</f>
        <v>#REF!</v>
      </c>
    </row>
    <row r="14" spans="1:6">
      <c r="A14" s="89" t="s">
        <v>378</v>
      </c>
      <c r="B14" s="90" t="s">
        <v>379</v>
      </c>
      <c r="C14" s="244">
        <f>VÝHLED23návrh!E14</f>
        <v>0</v>
      </c>
      <c r="D14" s="268">
        <f>VÝHLED23návrh!F14</f>
        <v>0</v>
      </c>
      <c r="E14" s="268" t="e">
        <f>VÝHLED23návrh!#REF!</f>
        <v>#REF!</v>
      </c>
      <c r="F14" s="269" t="e">
        <f>VÝHLED23návrh!#REF!</f>
        <v>#REF!</v>
      </c>
    </row>
    <row r="15" spans="1:6" ht="15.75" thickBot="1">
      <c r="A15" s="96" t="s">
        <v>378</v>
      </c>
      <c r="B15" s="97" t="s">
        <v>386</v>
      </c>
      <c r="C15" s="260">
        <f>VÝHLED23návrh!E15</f>
        <v>-245000</v>
      </c>
      <c r="D15" s="261">
        <f>VÝHLED23návrh!F15</f>
        <v>-245000</v>
      </c>
      <c r="E15" s="261" t="e">
        <f>VÝHLED23návrh!#REF!</f>
        <v>#REF!</v>
      </c>
      <c r="F15" s="262" t="e">
        <f>VÝHLED23návrh!#REF!</f>
        <v>#REF!</v>
      </c>
    </row>
    <row r="16" spans="1:6" ht="16.5" thickBot="1">
      <c r="A16" s="267"/>
      <c r="B16" s="263" t="s">
        <v>380</v>
      </c>
      <c r="C16" s="264">
        <f>SUM(C14:C15)</f>
        <v>-245000</v>
      </c>
      <c r="D16" s="266">
        <f>SUM(D14:D15)</f>
        <v>-245000</v>
      </c>
      <c r="E16" s="264" t="e">
        <f>SUM(E15:E15)</f>
        <v>#REF!</v>
      </c>
      <c r="F16" s="266" t="e">
        <f>SUM(F15:F15)</f>
        <v>#REF!</v>
      </c>
    </row>
    <row r="17" spans="1:6" ht="16.5" thickBot="1">
      <c r="A17" s="270"/>
      <c r="B17" s="271" t="s">
        <v>381</v>
      </c>
      <c r="C17" s="272">
        <f>VÝHLED23návrh!E17</f>
        <v>0</v>
      </c>
      <c r="D17" s="272">
        <f>VÝHLED23návrh!F17</f>
        <v>0</v>
      </c>
      <c r="E17" s="272" t="e">
        <f>VÝHLED23návrh!#REF!</f>
        <v>#REF!</v>
      </c>
      <c r="F17" s="273" t="e">
        <f>VÝHLED23návrh!#REF!</f>
        <v>#REF!</v>
      </c>
    </row>
    <row r="19" spans="1:6" ht="15.75">
      <c r="A19" s="105" t="s">
        <v>515</v>
      </c>
    </row>
    <row r="20" spans="1:6" ht="15.75">
      <c r="A20" s="105"/>
    </row>
    <row r="21" spans="1:6" ht="15.75">
      <c r="A21" s="105"/>
    </row>
    <row r="22" spans="1:6" ht="15.75">
      <c r="A22" s="104" t="s">
        <v>513</v>
      </c>
      <c r="C22" s="131"/>
      <c r="E22" s="219" t="s">
        <v>461</v>
      </c>
    </row>
    <row r="23" spans="1:6" ht="15.75">
      <c r="A23" s="104"/>
      <c r="E23" s="219" t="s">
        <v>462</v>
      </c>
    </row>
    <row r="24" spans="1:6">
      <c r="A24" s="104" t="s">
        <v>382</v>
      </c>
      <c r="F24" t="s">
        <v>463</v>
      </c>
    </row>
  </sheetData>
  <mergeCells count="4">
    <mergeCell ref="A1:F1"/>
    <mergeCell ref="A2:F2"/>
    <mergeCell ref="C4:D4"/>
    <mergeCell ref="E4:F4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I31"/>
  <sheetViews>
    <sheetView workbookViewId="0"/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3.140625" style="204" customWidth="1"/>
    <col min="8" max="8" width="10.7109375" style="200" customWidth="1"/>
    <col min="9" max="16384" width="9.140625" style="105"/>
  </cols>
  <sheetData>
    <row r="2" spans="1:9" ht="23.25">
      <c r="A2" s="431" t="s">
        <v>510</v>
      </c>
      <c r="B2" s="431"/>
      <c r="C2" s="431"/>
      <c r="D2" s="431"/>
      <c r="E2" s="431"/>
      <c r="F2" s="431"/>
      <c r="G2" s="199"/>
    </row>
    <row r="4" spans="1:9" ht="31.5">
      <c r="A4" s="111" t="s">
        <v>263</v>
      </c>
      <c r="B4" s="111" t="s">
        <v>5</v>
      </c>
      <c r="C4" s="112" t="s">
        <v>471</v>
      </c>
      <c r="D4" s="112" t="s">
        <v>503</v>
      </c>
      <c r="E4" s="112" t="s">
        <v>504</v>
      </c>
      <c r="F4" s="113" t="s">
        <v>511</v>
      </c>
      <c r="G4" s="211" t="s">
        <v>505</v>
      </c>
      <c r="H4" s="212" t="s">
        <v>506</v>
      </c>
    </row>
    <row r="5" spans="1:9">
      <c r="A5" s="105" t="s">
        <v>265</v>
      </c>
      <c r="B5" s="105" t="s">
        <v>266</v>
      </c>
      <c r="C5" s="106">
        <f>ROZPOČET23návrh!C5</f>
        <v>5423700</v>
      </c>
      <c r="D5" s="106">
        <f>ROZPOČET23návrh!D5</f>
        <v>5759500</v>
      </c>
      <c r="E5" s="106">
        <f>ROZPOČET23návrh!E5</f>
        <v>5723404.6900000004</v>
      </c>
      <c r="F5" s="106">
        <f>ROZPOČET23návrh!F5</f>
        <v>6126400</v>
      </c>
      <c r="G5" s="201">
        <f>F5/C5-1</f>
        <v>0.12956100079281674</v>
      </c>
      <c r="H5" s="201">
        <f>F5/E5-1</f>
        <v>7.0411814615191748E-2</v>
      </c>
    </row>
    <row r="6" spans="1:9">
      <c r="A6" s="105" t="s">
        <v>267</v>
      </c>
      <c r="B6" s="105" t="s">
        <v>268</v>
      </c>
      <c r="C6" s="106">
        <f>ROZPOČET23návrh!C6</f>
        <v>514500</v>
      </c>
      <c r="D6" s="106">
        <f>ROZPOČET23návrh!D6</f>
        <v>593640</v>
      </c>
      <c r="E6" s="106">
        <f>ROZPOČET23návrh!E6</f>
        <v>435708.33</v>
      </c>
      <c r="F6" s="106">
        <f>ROZPOČET23návrh!F6</f>
        <v>514800</v>
      </c>
      <c r="G6" s="201">
        <f t="shared" ref="G6:G9" si="0">F6/C6-1</f>
        <v>5.8309037900872163E-4</v>
      </c>
      <c r="H6" s="201">
        <f t="shared" ref="H6:H15" si="1">F6/E6-1</f>
        <v>0.18152434680328455</v>
      </c>
    </row>
    <row r="7" spans="1:9">
      <c r="A7" s="105" t="s">
        <v>269</v>
      </c>
      <c r="B7" s="105" t="s">
        <v>270</v>
      </c>
      <c r="C7" s="106">
        <f>ROZPOČET23návrh!C7</f>
        <v>40000</v>
      </c>
      <c r="D7" s="106">
        <f>ROZPOČET23návrh!D7</f>
        <v>70000</v>
      </c>
      <c r="E7" s="106">
        <f>ROZPOČET23návrh!E7</f>
        <v>59144</v>
      </c>
      <c r="F7" s="106">
        <f>ROZPOČET23návrh!F7</f>
        <v>30000</v>
      </c>
      <c r="G7" s="201">
        <f>F7/C7-1</f>
        <v>-0.25</v>
      </c>
      <c r="H7" s="201">
        <f t="shared" si="1"/>
        <v>-0.49276342486135538</v>
      </c>
    </row>
    <row r="8" spans="1:9">
      <c r="A8" s="105" t="s">
        <v>271</v>
      </c>
      <c r="B8" s="105" t="s">
        <v>272</v>
      </c>
      <c r="C8" s="106">
        <f>ROZPOČET23návrh!C8</f>
        <v>1228300</v>
      </c>
      <c r="D8" s="106">
        <f>ROZPOČET23návrh!D8</f>
        <v>1377347.88</v>
      </c>
      <c r="E8" s="106">
        <f>ROZPOČET23návrh!E8</f>
        <v>1377347.92</v>
      </c>
      <c r="F8" s="106">
        <f>ROZPOČET23návrh!F8</f>
        <v>365188.89</v>
      </c>
      <c r="G8" s="201">
        <f t="shared" si="0"/>
        <v>-0.7026875437596678</v>
      </c>
      <c r="H8" s="201">
        <f t="shared" si="1"/>
        <v>-0.73486082586889157</v>
      </c>
    </row>
    <row r="9" spans="1:9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G9" s="202">
        <f t="shared" si="0"/>
        <v>-2.3605232775966156E-2</v>
      </c>
      <c r="H9" s="203">
        <f t="shared" si="1"/>
        <v>-7.362363556522733E-2</v>
      </c>
    </row>
    <row r="10" spans="1:9">
      <c r="H10" s="201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209"/>
      <c r="H11" s="210"/>
    </row>
    <row r="12" spans="1:9">
      <c r="A12" s="105" t="s">
        <v>274</v>
      </c>
      <c r="B12" s="105" t="s">
        <v>275</v>
      </c>
      <c r="C12" s="106">
        <f>ROZPOČET23návrh!C12</f>
        <v>7195600</v>
      </c>
      <c r="D12" s="106">
        <f>ROZPOČET23návrh!D12</f>
        <v>7479854.8899999997</v>
      </c>
      <c r="E12" s="106">
        <f>ROZPOČET23návrh!E12</f>
        <v>7594747.4400000004</v>
      </c>
      <c r="F12" s="106">
        <f>ROZPOČET23návrh!F12</f>
        <v>6251689.0999999996</v>
      </c>
      <c r="G12" s="201">
        <f t="shared" ref="G12:G15" si="2">F12/C12-1</f>
        <v>-0.13117890099505258</v>
      </c>
      <c r="H12" s="201">
        <f t="shared" si="1"/>
        <v>-0.17684042170071168</v>
      </c>
    </row>
    <row r="13" spans="1:9">
      <c r="A13" s="213" t="s">
        <v>458</v>
      </c>
      <c r="B13" s="105">
        <v>5171</v>
      </c>
      <c r="C13" s="106" t="e">
        <f>ROZPOČET23návrh!#REF!</f>
        <v>#REF!</v>
      </c>
      <c r="D13" s="106" t="e">
        <f>ROZPOČET23návrh!#REF!</f>
        <v>#REF!</v>
      </c>
      <c r="E13" s="106" t="e">
        <f>ROZPOČET23návrh!#REF!</f>
        <v>#REF!</v>
      </c>
      <c r="F13" s="106" t="e">
        <f>ROZPOČET23návrh!#REF!</f>
        <v>#REF!</v>
      </c>
      <c r="G13" s="201" t="e">
        <f t="shared" si="2"/>
        <v>#REF!</v>
      </c>
      <c r="H13" s="201" t="e">
        <f t="shared" si="1"/>
        <v>#REF!</v>
      </c>
    </row>
    <row r="14" spans="1:9">
      <c r="A14" s="105" t="s">
        <v>276</v>
      </c>
      <c r="B14" s="105" t="s">
        <v>277</v>
      </c>
      <c r="C14" s="106">
        <f>ROZPOČET23návrh!C13</f>
        <v>2057900</v>
      </c>
      <c r="D14" s="106">
        <f>ROZPOČET23návrh!D13</f>
        <v>2482600</v>
      </c>
      <c r="E14" s="106">
        <f>ROZPOČET23návrh!E13</f>
        <v>2481231</v>
      </c>
      <c r="F14" s="106">
        <f>ROZPOČET23návrh!F13</f>
        <v>539700</v>
      </c>
      <c r="G14" s="201">
        <f t="shared" si="2"/>
        <v>-0.73774235871519511</v>
      </c>
      <c r="H14" s="201">
        <f t="shared" si="1"/>
        <v>-0.78248699939667044</v>
      </c>
      <c r="I14" s="105" t="s">
        <v>457</v>
      </c>
    </row>
    <row r="15" spans="1:9" s="117" customFormat="1" ht="16.5" thickBot="1">
      <c r="A15" s="115" t="s">
        <v>262</v>
      </c>
      <c r="B15" s="115"/>
      <c r="C15" s="116">
        <f>C12+C14</f>
        <v>9253500</v>
      </c>
      <c r="D15" s="116">
        <f>D12+D14</f>
        <v>9962454.8900000006</v>
      </c>
      <c r="E15" s="116">
        <f>E12+E14</f>
        <v>10075978.440000001</v>
      </c>
      <c r="F15" s="116">
        <f>F12+F14</f>
        <v>6791389.0999999996</v>
      </c>
      <c r="G15" s="202">
        <f t="shared" si="2"/>
        <v>-0.26607347490138866</v>
      </c>
      <c r="H15" s="203">
        <f t="shared" si="1"/>
        <v>-0.32598217230802262</v>
      </c>
    </row>
    <row r="17" spans="1:8" ht="15.75" thickBot="1">
      <c r="A17" s="107" t="s">
        <v>278</v>
      </c>
      <c r="B17" s="107"/>
      <c r="C17" s="108">
        <f>C9-C15</f>
        <v>-2047000</v>
      </c>
      <c r="D17" s="108">
        <f>D9-D15</f>
        <v>-2161967.0100000007</v>
      </c>
      <c r="E17" s="108">
        <f>E9-E15</f>
        <v>-2480373.5000000009</v>
      </c>
      <c r="F17" s="108">
        <f>F9-F15</f>
        <v>244999.79000000004</v>
      </c>
      <c r="G17" s="206"/>
    </row>
    <row r="19" spans="1:8" ht="15.75">
      <c r="A19" s="111" t="s">
        <v>279</v>
      </c>
      <c r="B19" s="111" t="s">
        <v>5</v>
      </c>
      <c r="C19" s="111"/>
      <c r="D19" s="111"/>
      <c r="E19" s="111"/>
      <c r="F19" s="114" t="s">
        <v>264</v>
      </c>
      <c r="G19" s="205"/>
    </row>
    <row r="20" spans="1:8">
      <c r="A20" s="105" t="s">
        <v>280</v>
      </c>
      <c r="B20" s="105">
        <v>8115</v>
      </c>
      <c r="C20" s="106">
        <f>ROZPOČET23návrh!C19</f>
        <v>457000</v>
      </c>
      <c r="D20" s="106">
        <f>ROZPOČET23návrh!D19</f>
        <v>690667</v>
      </c>
      <c r="E20" s="106">
        <f>ROZPOČET23návrh!E19</f>
        <v>976079</v>
      </c>
      <c r="F20" s="106">
        <f>ROZPOČET23návrh!F19</f>
        <v>0</v>
      </c>
    </row>
    <row r="21" spans="1:8">
      <c r="A21" s="105" t="s">
        <v>362</v>
      </c>
      <c r="B21" s="105">
        <v>8115</v>
      </c>
      <c r="C21" s="106">
        <f>ROZPOČET23návrh!C20</f>
        <v>0</v>
      </c>
      <c r="D21" s="106">
        <f>ROZPOČET23návrh!D20</f>
        <v>0</v>
      </c>
      <c r="E21" s="106">
        <f>ROZPOČET23návrh!E20</f>
        <v>0</v>
      </c>
      <c r="F21" s="106">
        <f>ROZPOČET23návrh!F20</f>
        <v>0</v>
      </c>
    </row>
    <row r="22" spans="1:8">
      <c r="A22" s="105" t="s">
        <v>358</v>
      </c>
      <c r="B22" s="105">
        <v>8123</v>
      </c>
      <c r="C22" s="106">
        <f>ROZPOČET23návrh!C21</f>
        <v>1590000</v>
      </c>
      <c r="D22" s="106">
        <f>ROZPOČET23návrh!D21</f>
        <v>1625000</v>
      </c>
      <c r="E22" s="106">
        <f>ROZPOČET23návrh!E21</f>
        <v>1624667</v>
      </c>
      <c r="F22" s="106">
        <f>ROZPOČET23návrh!F21</f>
        <v>0</v>
      </c>
    </row>
    <row r="23" spans="1:8" s="117" customFormat="1" ht="17.25" customHeight="1" thickBot="1">
      <c r="A23" s="115" t="s">
        <v>359</v>
      </c>
      <c r="B23" s="115"/>
      <c r="C23" s="116">
        <f>SUM(C20:C22)</f>
        <v>2047000</v>
      </c>
      <c r="D23" s="116">
        <f>SUM(D20:D22)</f>
        <v>2315667</v>
      </c>
      <c r="E23" s="116">
        <f>SUM(E20:E22)</f>
        <v>2600746</v>
      </c>
      <c r="F23" s="116">
        <f>SUM(F20:F22)</f>
        <v>0</v>
      </c>
      <c r="G23" s="207"/>
      <c r="H23" s="208"/>
    </row>
    <row r="25" spans="1:8" ht="15.75" thickBot="1">
      <c r="A25" s="109" t="s">
        <v>360</v>
      </c>
      <c r="B25" s="109"/>
      <c r="C25" s="110">
        <f>C9-C15+C23</f>
        <v>0</v>
      </c>
      <c r="D25" s="110">
        <f>D9-D15+D23</f>
        <v>153699.98999999929</v>
      </c>
      <c r="E25" s="110">
        <f>E9-E15+E23</f>
        <v>120372.49999999907</v>
      </c>
      <c r="F25" s="110">
        <f>F9-F15+F23</f>
        <v>244999.79000000004</v>
      </c>
    </row>
    <row r="27" spans="1:8">
      <c r="A27" s="105" t="s">
        <v>512</v>
      </c>
    </row>
    <row r="29" spans="1:8">
      <c r="A29" s="104" t="s">
        <v>509</v>
      </c>
      <c r="B29" s="132"/>
      <c r="E29" s="219" t="s">
        <v>461</v>
      </c>
    </row>
    <row r="30" spans="1:8">
      <c r="A30" s="104"/>
      <c r="E30" s="219" t="s">
        <v>462</v>
      </c>
    </row>
    <row r="31" spans="1:8">
      <c r="A31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4"/>
  <sheetViews>
    <sheetView workbookViewId="0">
      <selection sqref="A1:F1"/>
    </sheetView>
  </sheetViews>
  <sheetFormatPr defaultRowHeight="15"/>
  <cols>
    <col min="2" max="2" width="23.42578125" bestFit="1" customWidth="1"/>
    <col min="3" max="3" width="16.42578125" customWidth="1"/>
    <col min="4" max="4" width="18.28515625" customWidth="1"/>
    <col min="5" max="5" width="16.28515625" customWidth="1"/>
    <col min="6" max="6" width="17.85546875" customWidth="1"/>
  </cols>
  <sheetData>
    <row r="1" spans="1:7" ht="23.25" customHeight="1">
      <c r="A1" s="439" t="s">
        <v>465</v>
      </c>
      <c r="B1" s="439"/>
      <c r="C1" s="439"/>
      <c r="D1" s="439"/>
      <c r="E1" s="439"/>
      <c r="F1" s="439"/>
      <c r="G1" s="334"/>
    </row>
    <row r="2" spans="1:7" ht="23.25">
      <c r="A2" s="431" t="s">
        <v>566</v>
      </c>
      <c r="B2" s="431"/>
      <c r="C2" s="431"/>
      <c r="D2" s="431"/>
      <c r="E2" s="431"/>
      <c r="F2" s="431"/>
    </row>
    <row r="3" spans="1:7" ht="15.75" thickBot="1"/>
    <row r="4" spans="1:7" ht="15.75">
      <c r="A4" s="435"/>
      <c r="B4" s="437" t="s">
        <v>260</v>
      </c>
      <c r="C4" s="364" t="s">
        <v>590</v>
      </c>
      <c r="D4" s="366" t="s">
        <v>598</v>
      </c>
      <c r="E4" s="433" t="s">
        <v>599</v>
      </c>
      <c r="F4" s="434"/>
    </row>
    <row r="5" spans="1:7" ht="16.5" thickBot="1">
      <c r="A5" s="436"/>
      <c r="B5" s="438"/>
      <c r="C5" s="365">
        <v>2022</v>
      </c>
      <c r="D5" s="365">
        <v>2023</v>
      </c>
      <c r="E5" s="216">
        <v>2024</v>
      </c>
      <c r="F5" s="88">
        <v>2025</v>
      </c>
    </row>
    <row r="6" spans="1:7">
      <c r="A6" s="89" t="s">
        <v>364</v>
      </c>
      <c r="B6" s="356" t="s">
        <v>365</v>
      </c>
      <c r="C6" s="352">
        <f>ROZPOČETschváleno!E5</f>
        <v>5723404.6900000004</v>
      </c>
      <c r="D6" s="352">
        <f>ROZPOČETschváleno!F5</f>
        <v>6126400</v>
      </c>
      <c r="E6" s="91">
        <v>6300000</v>
      </c>
      <c r="F6" s="92">
        <v>6600000</v>
      </c>
    </row>
    <row r="7" spans="1:7">
      <c r="A7" s="93" t="s">
        <v>366</v>
      </c>
      <c r="B7" s="357" t="s">
        <v>367</v>
      </c>
      <c r="C7" s="352">
        <f>ROZPOČETschváleno!E6</f>
        <v>435708.33</v>
      </c>
      <c r="D7" s="352">
        <f>ROZPOČETschváleno!F6</f>
        <v>514800</v>
      </c>
      <c r="E7" s="95">
        <v>500000</v>
      </c>
      <c r="F7" s="217">
        <v>500000</v>
      </c>
    </row>
    <row r="8" spans="1:7">
      <c r="A8" s="93" t="s">
        <v>368</v>
      </c>
      <c r="B8" s="357" t="s">
        <v>369</v>
      </c>
      <c r="C8" s="352">
        <f>ROZPOČETschváleno!E7</f>
        <v>59144</v>
      </c>
      <c r="D8" s="352">
        <f>ROZPOČETschváleno!F7</f>
        <v>30000</v>
      </c>
      <c r="E8" s="95">
        <v>50000</v>
      </c>
      <c r="F8" s="217">
        <v>50000</v>
      </c>
    </row>
    <row r="9" spans="1:7" ht="15.75" thickBot="1">
      <c r="A9" s="96" t="s">
        <v>370</v>
      </c>
      <c r="B9" s="358" t="s">
        <v>371</v>
      </c>
      <c r="C9" s="352">
        <f>ROZPOČETschváleno!E8</f>
        <v>1377347.92</v>
      </c>
      <c r="D9" s="352">
        <f>ROZPOČETschváleno!F8</f>
        <v>365188.89</v>
      </c>
      <c r="E9" s="98">
        <v>88000</v>
      </c>
      <c r="F9" s="99">
        <v>90000</v>
      </c>
    </row>
    <row r="10" spans="1:7" ht="17.25" thickTop="1" thickBot="1">
      <c r="A10" s="100"/>
      <c r="B10" s="359" t="s">
        <v>372</v>
      </c>
      <c r="C10" s="353">
        <f>SUM(C6:C9)</f>
        <v>7595604.9400000004</v>
      </c>
      <c r="D10" s="102">
        <f>SUM(D6:D9)</f>
        <v>7036388.8899999997</v>
      </c>
      <c r="E10" s="101">
        <f>SUM(E6:E9)</f>
        <v>6938000</v>
      </c>
      <c r="F10" s="102">
        <f>SUM(F6:F9)</f>
        <v>7240000</v>
      </c>
    </row>
    <row r="11" spans="1:7" ht="15.75" thickTop="1">
      <c r="A11" s="89" t="s">
        <v>373</v>
      </c>
      <c r="B11" s="356" t="s">
        <v>374</v>
      </c>
      <c r="C11" s="352">
        <f>ROZPOČETschváleno!E12</f>
        <v>7594747.4400000004</v>
      </c>
      <c r="D11" s="352">
        <f>ROZPOČETschváleno!F12</f>
        <v>6251689.0999999996</v>
      </c>
      <c r="E11" s="91">
        <f>5758000+435000</f>
        <v>6193000</v>
      </c>
      <c r="F11" s="92">
        <f>267000+5758000</f>
        <v>6025000</v>
      </c>
    </row>
    <row r="12" spans="1:7" ht="15.75" thickBot="1">
      <c r="A12" s="96" t="s">
        <v>375</v>
      </c>
      <c r="B12" s="358" t="s">
        <v>376</v>
      </c>
      <c r="C12" s="352">
        <f>ROZPOČETschváleno!E13</f>
        <v>2481231</v>
      </c>
      <c r="D12" s="352">
        <f>ROZPOČETschváleno!F13</f>
        <v>539700</v>
      </c>
      <c r="E12" s="98">
        <v>500000</v>
      </c>
      <c r="F12" s="99">
        <v>970000</v>
      </c>
    </row>
    <row r="13" spans="1:7" ht="17.25" thickTop="1" thickBot="1">
      <c r="A13" s="100"/>
      <c r="B13" s="359" t="s">
        <v>377</v>
      </c>
      <c r="C13" s="353">
        <f>SUM(C11:C12)</f>
        <v>10075978.440000001</v>
      </c>
      <c r="D13" s="102">
        <f>SUM(D11:D12)</f>
        <v>6791389.0999999996</v>
      </c>
      <c r="E13" s="101">
        <f>SUM(E11:E12)</f>
        <v>6693000</v>
      </c>
      <c r="F13" s="102">
        <f>SUM(F11:F12)</f>
        <v>6995000</v>
      </c>
    </row>
    <row r="14" spans="1:7" ht="15.75" thickTop="1">
      <c r="A14" s="89" t="s">
        <v>378</v>
      </c>
      <c r="B14" s="356" t="s">
        <v>379</v>
      </c>
      <c r="C14" s="352">
        <f>ROZPOČETschváleno!E19+ROZPOČETschváleno!E21</f>
        <v>2600746</v>
      </c>
      <c r="D14" s="351"/>
      <c r="E14" s="215">
        <v>0</v>
      </c>
      <c r="F14" s="218">
        <v>0</v>
      </c>
    </row>
    <row r="15" spans="1:7" ht="15.75" thickBot="1">
      <c r="A15" s="96" t="s">
        <v>378</v>
      </c>
      <c r="B15" s="358" t="s">
        <v>386</v>
      </c>
      <c r="C15" s="361">
        <f>ROZPOČETschváleno!E22</f>
        <v>-120372</v>
      </c>
      <c r="D15" s="361">
        <f>ROZPOČETschváleno!F22</f>
        <v>-245000</v>
      </c>
      <c r="E15" s="91">
        <v>-245000</v>
      </c>
      <c r="F15" s="92">
        <v>-245000</v>
      </c>
      <c r="G15" t="s">
        <v>567</v>
      </c>
    </row>
    <row r="16" spans="1:7" ht="17.25" thickTop="1" thickBot="1">
      <c r="A16" s="100"/>
      <c r="B16" s="359" t="s">
        <v>380</v>
      </c>
      <c r="C16" s="354">
        <f>SUM(C15:C15)</f>
        <v>-120372</v>
      </c>
      <c r="D16" s="102">
        <f>SUM(D15:D15)</f>
        <v>-245000</v>
      </c>
      <c r="E16" s="102">
        <f>SUM(E15:E15)</f>
        <v>-245000</v>
      </c>
      <c r="F16" s="102">
        <f>SUM(F15:F15)</f>
        <v>-245000</v>
      </c>
    </row>
    <row r="17" spans="1:6" ht="17.25" thickTop="1" thickBot="1">
      <c r="A17" s="103"/>
      <c r="B17" s="360" t="s">
        <v>381</v>
      </c>
      <c r="C17" s="355">
        <f>C10+C16-C13+C14</f>
        <v>0.49999999906867743</v>
      </c>
      <c r="D17" s="355">
        <f t="shared" ref="D17:F17" si="0">D10+D16-D13+D14</f>
        <v>-0.2099999999627471</v>
      </c>
      <c r="E17" s="355">
        <f>E10+E16-E13+E14</f>
        <v>0</v>
      </c>
      <c r="F17" s="355">
        <f t="shared" si="0"/>
        <v>0</v>
      </c>
    </row>
    <row r="19" spans="1:6" ht="15.75">
      <c r="A19" s="105" t="s">
        <v>597</v>
      </c>
    </row>
    <row r="20" spans="1:6" ht="15.75">
      <c r="A20" s="105"/>
    </row>
    <row r="21" spans="1:6">
      <c r="A21" s="104" t="s">
        <v>596</v>
      </c>
    </row>
    <row r="22" spans="1:6" ht="15.75">
      <c r="A22" s="104"/>
      <c r="E22" s="131"/>
      <c r="F22" s="219" t="s">
        <v>461</v>
      </c>
    </row>
    <row r="23" spans="1:6" ht="15.75">
      <c r="A23" s="104"/>
      <c r="F23" s="219" t="s">
        <v>462</v>
      </c>
    </row>
    <row r="24" spans="1:6">
      <c r="A24" s="104" t="s">
        <v>382</v>
      </c>
    </row>
  </sheetData>
  <mergeCells count="5">
    <mergeCell ref="A2:F2"/>
    <mergeCell ref="A4:A5"/>
    <mergeCell ref="B4:B5"/>
    <mergeCell ref="E4:F4"/>
    <mergeCell ref="A1:F1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A76B0-F71F-4F33-A23E-D8F50EDD1E80}">
  <sheetPr>
    <tabColor rgb="FF92D050"/>
    <pageSetUpPr fitToPage="1"/>
  </sheetPr>
  <dimension ref="A2:AA38"/>
  <sheetViews>
    <sheetView workbookViewId="0"/>
  </sheetViews>
  <sheetFormatPr defaultColWidth="9.140625" defaultRowHeight="15" outlineLevelCol="1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hidden="1" customWidth="1" outlineLevel="1"/>
    <col min="9" max="9" width="16.5703125" style="105" hidden="1" customWidth="1" outlineLevel="1"/>
    <col min="10" max="10" width="1.28515625" style="105" hidden="1" customWidth="1" outlineLevel="1"/>
    <col min="11" max="11" width="12.7109375" style="105" hidden="1" customWidth="1" outlineLevel="1"/>
    <col min="12" max="12" width="15.5703125" style="105" hidden="1" customWidth="1" outlineLevel="1"/>
    <col min="13" max="13" width="1.7109375" style="105" hidden="1" customWidth="1" outlineLevel="1"/>
    <col min="14" max="14" width="12.7109375" style="105" hidden="1" customWidth="1" outlineLevel="1"/>
    <col min="15" max="15" width="14.7109375" style="105" hidden="1" customWidth="1" outlineLevel="1"/>
    <col min="16" max="16" width="3.5703125" style="105" hidden="1" customWidth="1" outlineLevel="1"/>
    <col min="17" max="17" width="16.140625" style="105" hidden="1" customWidth="1" outlineLevel="1"/>
    <col min="18" max="18" width="16" style="105" hidden="1" customWidth="1" outlineLevel="1"/>
    <col min="19" max="19" width="6" style="105" hidden="1" customWidth="1" outlineLevel="1"/>
    <col min="20" max="20" width="15.7109375" style="105" hidden="1" customWidth="1" outlineLevel="1"/>
    <col min="21" max="21" width="16.5703125" style="105" hidden="1" customWidth="1" outlineLevel="1"/>
    <col min="22" max="22" width="3.42578125" style="105" customWidth="1" collapsed="1"/>
    <col min="23" max="23" width="16.28515625" style="105" customWidth="1"/>
    <col min="24" max="24" width="15.7109375" style="105" customWidth="1"/>
    <col min="25" max="25" width="3.140625" style="105" customWidth="1"/>
    <col min="26" max="26" width="16.28515625" style="105" customWidth="1"/>
    <col min="27" max="27" width="15.7109375" style="105" customWidth="1"/>
    <col min="28" max="16384" width="9.140625" style="105"/>
  </cols>
  <sheetData>
    <row r="2" spans="1:27" ht="15.75">
      <c r="A2" s="440" t="s">
        <v>594</v>
      </c>
      <c r="B2" s="440"/>
      <c r="C2" s="440"/>
      <c r="D2" s="440"/>
      <c r="E2" s="440"/>
      <c r="F2" s="440"/>
    </row>
    <row r="3" spans="1:27" ht="15.75">
      <c r="H3" s="117" t="s">
        <v>469</v>
      </c>
      <c r="I3" s="117"/>
      <c r="K3" s="117" t="s">
        <v>478</v>
      </c>
      <c r="L3" s="117"/>
      <c r="N3" s="117" t="s">
        <v>482</v>
      </c>
      <c r="O3" s="117"/>
      <c r="Q3" s="117" t="s">
        <v>489</v>
      </c>
      <c r="R3" s="117"/>
      <c r="T3" s="117" t="s">
        <v>623</v>
      </c>
      <c r="U3" s="117"/>
      <c r="W3" s="117" t="s">
        <v>627</v>
      </c>
      <c r="X3" s="117"/>
      <c r="Z3" s="117" t="s">
        <v>635</v>
      </c>
      <c r="AA3" s="117"/>
    </row>
    <row r="4" spans="1:27" ht="47.2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368" t="s">
        <v>472</v>
      </c>
      <c r="I4" s="368" t="s">
        <v>473</v>
      </c>
      <c r="K4" s="368" t="s">
        <v>472</v>
      </c>
      <c r="L4" s="368" t="s">
        <v>473</v>
      </c>
      <c r="N4" s="368" t="s">
        <v>472</v>
      </c>
      <c r="O4" s="368" t="s">
        <v>473</v>
      </c>
      <c r="Q4" s="368" t="s">
        <v>472</v>
      </c>
      <c r="R4" s="368" t="s">
        <v>473</v>
      </c>
      <c r="T4" s="368" t="s">
        <v>472</v>
      </c>
      <c r="U4" s="368" t="s">
        <v>473</v>
      </c>
      <c r="W4" s="368" t="s">
        <v>472</v>
      </c>
      <c r="X4" s="368" t="s">
        <v>473</v>
      </c>
      <c r="Z4" s="368" t="s">
        <v>472</v>
      </c>
      <c r="AA4" s="368" t="s">
        <v>473</v>
      </c>
    </row>
    <row r="5" spans="1:27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  <c r="K5" s="106">
        <f>Rozpis_Příjmy!CX22</f>
        <v>0</v>
      </c>
      <c r="L5" s="106">
        <f>Rozpis_Příjmy!CY22</f>
        <v>6126400</v>
      </c>
      <c r="N5" s="106">
        <f>Rozpis_Příjmy!DA22</f>
        <v>0</v>
      </c>
      <c r="O5" s="106">
        <f>Rozpis_Příjmy!DB22</f>
        <v>6126400</v>
      </c>
      <c r="Q5" s="106">
        <f>Rozpis_Příjmy!DD22</f>
        <v>14000</v>
      </c>
      <c r="R5" s="106">
        <f>Rozpis_Příjmy!DE22</f>
        <v>6140400</v>
      </c>
      <c r="T5" s="106">
        <f>Rozpis_Příjmy!DG22</f>
        <v>0</v>
      </c>
      <c r="U5" s="106">
        <f>Rozpis_Příjmy!DH22</f>
        <v>6140400</v>
      </c>
      <c r="W5" s="106">
        <f>Rozpis_Příjmy!DJ22</f>
        <v>120000</v>
      </c>
      <c r="X5" s="106">
        <f>Rozpis_Příjmy!DK22</f>
        <v>6260400</v>
      </c>
      <c r="Z5" s="106">
        <f>Rozpis_Příjmy!DM22</f>
        <v>-105648</v>
      </c>
      <c r="AA5" s="106">
        <f>Rozpis_Příjmy!DN22</f>
        <v>6154752</v>
      </c>
    </row>
    <row r="6" spans="1:27">
      <c r="A6" s="105" t="s">
        <v>267</v>
      </c>
      <c r="B6" s="105" t="s">
        <v>268</v>
      </c>
      <c r="C6" s="106">
        <f>Rozpis_Příjmy!BO111</f>
        <v>514500</v>
      </c>
      <c r="D6" s="106">
        <f>Rozpis_Příjmy!CN111</f>
        <v>593640</v>
      </c>
      <c r="E6" s="106">
        <f>Rozpis_Příjmy!CP111</f>
        <v>435708.33</v>
      </c>
      <c r="F6" s="106">
        <f>Rozpis_Příjmy!CR111</f>
        <v>514800</v>
      </c>
      <c r="H6" s="106">
        <f>Rozpis_Příjmy!CU111</f>
        <v>-150000</v>
      </c>
      <c r="I6" s="106">
        <f>Rozpis_Příjmy!CV111</f>
        <v>364800</v>
      </c>
      <c r="K6" s="106">
        <f>Rozpis_Příjmy!CX111</f>
        <v>13000</v>
      </c>
      <c r="L6" s="106">
        <f>Rozpis_Příjmy!CY111</f>
        <v>377800</v>
      </c>
      <c r="N6" s="106">
        <f>Rozpis_Příjmy!DA111</f>
        <v>249450</v>
      </c>
      <c r="O6" s="106">
        <f>Rozpis_Příjmy!DB111</f>
        <v>627250</v>
      </c>
      <c r="Q6" s="106">
        <f>Rozpis_Příjmy!DD111</f>
        <v>16500</v>
      </c>
      <c r="R6" s="106">
        <f>Rozpis_Příjmy!DE111</f>
        <v>643750</v>
      </c>
      <c r="T6" s="106">
        <f>Rozpis_Příjmy!DG111</f>
        <v>155000</v>
      </c>
      <c r="U6" s="106">
        <f>Rozpis_Příjmy!DH111</f>
        <v>798750</v>
      </c>
      <c r="W6" s="106">
        <f>Rozpis_Příjmy!DJ111</f>
        <v>15000</v>
      </c>
      <c r="X6" s="106">
        <f>Rozpis_Příjmy!DK111</f>
        <v>813750</v>
      </c>
      <c r="Z6" s="106">
        <f>Rozpis_Příjmy!DM111</f>
        <v>8000</v>
      </c>
      <c r="AA6" s="106">
        <f>Rozpis_Příjmy!DN111</f>
        <v>821750</v>
      </c>
    </row>
    <row r="7" spans="1:27">
      <c r="A7" s="105" t="s">
        <v>269</v>
      </c>
      <c r="B7" s="105" t="s">
        <v>270</v>
      </c>
      <c r="C7" s="106">
        <f>Rozpis_Příjmy!BO89</f>
        <v>40000</v>
      </c>
      <c r="D7" s="106">
        <f>Rozpis_Příjmy!CN89</f>
        <v>70000</v>
      </c>
      <c r="E7" s="106">
        <f>Rozpis_Příjmy!CP89</f>
        <v>59144</v>
      </c>
      <c r="F7" s="106">
        <f>Rozpis_Příjmy!CR89</f>
        <v>30000</v>
      </c>
      <c r="H7" s="106">
        <f>Rozpis_Příjmy!CU89</f>
        <v>150000</v>
      </c>
      <c r="I7" s="106">
        <f>Rozpis_Příjmy!CV89</f>
        <v>180000</v>
      </c>
      <c r="K7" s="106">
        <f>Rozpis_Příjmy!CX89</f>
        <v>0</v>
      </c>
      <c r="L7" s="106">
        <f>Rozpis_Příjmy!CY89</f>
        <v>180000</v>
      </c>
      <c r="N7" s="106">
        <f>Rozpis_Příjmy!DA89</f>
        <v>0</v>
      </c>
      <c r="O7" s="106">
        <f>Rozpis_Příjmy!DB89</f>
        <v>180000</v>
      </c>
      <c r="Q7" s="106">
        <f>Rozpis_Příjmy!DD89</f>
        <v>11500</v>
      </c>
      <c r="R7" s="106">
        <f>Rozpis_Příjmy!DE89</f>
        <v>191500</v>
      </c>
      <c r="T7" s="106">
        <f>Rozpis_Příjmy!DG89</f>
        <v>0</v>
      </c>
      <c r="U7" s="106">
        <f>Rozpis_Příjmy!DH89</f>
        <v>191500</v>
      </c>
      <c r="W7" s="106">
        <f>Rozpis_Příjmy!DJ89</f>
        <v>0</v>
      </c>
      <c r="X7" s="106">
        <f>Rozpis_Příjmy!DK89</f>
        <v>191500</v>
      </c>
      <c r="Z7" s="106">
        <f>Rozpis_Příjmy!DM89</f>
        <v>0</v>
      </c>
      <c r="AA7" s="106">
        <f>Rozpis_Příjmy!DN89</f>
        <v>191500</v>
      </c>
    </row>
    <row r="8" spans="1:27">
      <c r="A8" s="105" t="s">
        <v>271</v>
      </c>
      <c r="B8" s="105" t="s">
        <v>272</v>
      </c>
      <c r="C8" s="106">
        <f>Rozpis_Příjmy!BO33</f>
        <v>1228300</v>
      </c>
      <c r="D8" s="106">
        <f>Rozpis_Příjmy!CN33</f>
        <v>1377347.88</v>
      </c>
      <c r="E8" s="106">
        <f>Rozpis_Příjmy!CP33</f>
        <v>1377347.92</v>
      </c>
      <c r="F8" s="106">
        <f>Rozpis_Příjmy!CR33</f>
        <v>365188.89</v>
      </c>
      <c r="H8" s="106">
        <f>Rozpis_Příjmy!CU33</f>
        <v>0</v>
      </c>
      <c r="I8" s="106">
        <f>Rozpis_Příjmy!CV33</f>
        <v>365188.89</v>
      </c>
      <c r="K8" s="106">
        <f>Rozpis_Příjmy!CX33</f>
        <v>129761</v>
      </c>
      <c r="L8" s="106">
        <f>Rozpis_Příjmy!CY33</f>
        <v>494949.89</v>
      </c>
      <c r="N8" s="106">
        <f>Rozpis_Příjmy!DA33</f>
        <v>995684</v>
      </c>
      <c r="O8" s="106">
        <f>Rozpis_Příjmy!DB33</f>
        <v>1490633.8900000001</v>
      </c>
      <c r="Q8" s="106">
        <f>Rozpis_Příjmy!DD33</f>
        <v>96000</v>
      </c>
      <c r="R8" s="106">
        <f>Rozpis_Příjmy!DE33</f>
        <v>1586633.8900000001</v>
      </c>
      <c r="T8" s="106">
        <f>Rozpis_Příjmy!DG33</f>
        <v>22000</v>
      </c>
      <c r="U8" s="106">
        <f>Rozpis_Příjmy!DH33</f>
        <v>1608633.8900000001</v>
      </c>
      <c r="W8" s="106">
        <f>Rozpis_Příjmy!DJ33</f>
        <v>0</v>
      </c>
      <c r="X8" s="106">
        <f>Rozpis_Příjmy!DK33</f>
        <v>1608633.8900000001</v>
      </c>
      <c r="Z8" s="106">
        <f>Rozpis_Příjmy!DM33</f>
        <v>15948</v>
      </c>
      <c r="AA8" s="106">
        <f>Rozpis_Příjmy!DN33</f>
        <v>1624581.8900000001</v>
      </c>
    </row>
    <row r="9" spans="1:27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  <c r="K9" s="116">
        <f>SUM(K5:K8)</f>
        <v>142761</v>
      </c>
      <c r="L9" s="116">
        <f>SUM(L5:L8)</f>
        <v>7179149.8899999997</v>
      </c>
      <c r="N9" s="116">
        <f>SUM(N5:N8)</f>
        <v>1245134</v>
      </c>
      <c r="O9" s="116">
        <f>SUM(O5:O8)</f>
        <v>8424283.8900000006</v>
      </c>
      <c r="Q9" s="116">
        <f>SUM(Q5:Q8)</f>
        <v>138000</v>
      </c>
      <c r="R9" s="116">
        <f>SUM(R5:R8)</f>
        <v>8562283.8900000006</v>
      </c>
      <c r="T9" s="116">
        <f>SUM(T5:T8)</f>
        <v>177000</v>
      </c>
      <c r="U9" s="116">
        <f>SUM(U5:U8)</f>
        <v>8739283.8900000006</v>
      </c>
      <c r="W9" s="116">
        <f>SUM(W5:W8)</f>
        <v>135000</v>
      </c>
      <c r="X9" s="116">
        <f>SUM(X5:X8)</f>
        <v>8874283.8900000006</v>
      </c>
      <c r="Z9" s="116">
        <f>SUM(Z5:Z8)</f>
        <v>-81700</v>
      </c>
      <c r="AA9" s="116">
        <f>SUM(AA5:AA8)</f>
        <v>8792583.8900000006</v>
      </c>
    </row>
    <row r="10" spans="1:27">
      <c r="H10" s="106"/>
      <c r="I10" s="106"/>
      <c r="K10" s="106"/>
      <c r="L10" s="106"/>
      <c r="N10" s="106"/>
      <c r="O10" s="106"/>
      <c r="Q10" s="106"/>
      <c r="R10" s="106"/>
      <c r="T10" s="106"/>
      <c r="U10" s="106"/>
      <c r="W10" s="106"/>
      <c r="X10" s="106"/>
      <c r="Z10" s="106"/>
      <c r="AA10" s="106"/>
    </row>
    <row r="11" spans="1:27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  <c r="K11" s="114"/>
      <c r="L11" s="114"/>
      <c r="N11" s="114"/>
      <c r="O11" s="114"/>
      <c r="Q11" s="114"/>
      <c r="R11" s="114"/>
      <c r="T11" s="114"/>
      <c r="U11" s="114"/>
      <c r="W11" s="114"/>
      <c r="X11" s="114"/>
      <c r="Z11" s="114"/>
      <c r="AA11" s="114"/>
    </row>
    <row r="12" spans="1:27">
      <c r="A12" s="105" t="s">
        <v>274</v>
      </c>
      <c r="B12" s="105" t="s">
        <v>275</v>
      </c>
      <c r="C12" s="106">
        <f>Rozpis_Výdaje!BM332</f>
        <v>7195600</v>
      </c>
      <c r="D12" s="106">
        <f>Rozpis_Výdaje!CY332</f>
        <v>7479854.8899999997</v>
      </c>
      <c r="E12" s="106">
        <f>Rozpis_Výdaje!DA332</f>
        <v>7594747.4400000004</v>
      </c>
      <c r="F12" s="106">
        <f>Rozpis_Výdaje!DC332</f>
        <v>6251689.0999999996</v>
      </c>
      <c r="H12" s="106">
        <f>Rozpis_Výdaje!DE332</f>
        <v>0</v>
      </c>
      <c r="I12" s="106">
        <f>Rozpis_Výdaje!DF332</f>
        <v>6251689.0999999996</v>
      </c>
      <c r="K12" s="106">
        <f>Rozpis_Výdaje!DH332</f>
        <v>57325</v>
      </c>
      <c r="L12" s="106">
        <f>Rozpis_Výdaje!DI332</f>
        <v>6309014.0999999996</v>
      </c>
      <c r="N12" s="106">
        <f>Rozpis_Výdaje!DK332</f>
        <v>249450</v>
      </c>
      <c r="O12" s="106">
        <f>Rozpis_Výdaje!DL332</f>
        <v>6558464.0999999996</v>
      </c>
      <c r="Q12" s="106">
        <f>Rozpis_Výdaje!DQ332</f>
        <v>116300</v>
      </c>
      <c r="R12" s="106">
        <f>Rozpis_Výdaje!DR332</f>
        <v>6674764.0999999996</v>
      </c>
      <c r="T12" s="106">
        <f>Rozpis_Výdaje!DT332</f>
        <v>101900</v>
      </c>
      <c r="U12" s="106">
        <f>Rozpis_Výdaje!DU332</f>
        <v>6776664.0999999996</v>
      </c>
      <c r="W12" s="106">
        <f>Rozpis_Výdaje!DW332</f>
        <v>286100</v>
      </c>
      <c r="X12" s="106">
        <f>Rozpis_Výdaje!DX332</f>
        <v>7062764.0999999996</v>
      </c>
      <c r="Z12" s="106">
        <f>Rozpis_Výdaje!EC332</f>
        <v>18300</v>
      </c>
      <c r="AA12" s="106">
        <f>Rozpis_Výdaje!ED332</f>
        <v>7081064.0999999996</v>
      </c>
    </row>
    <row r="13" spans="1:27">
      <c r="A13" s="105" t="s">
        <v>276</v>
      </c>
      <c r="B13" s="105" t="s">
        <v>277</v>
      </c>
      <c r="C13" s="106">
        <f>Rozpis_Výdaje!BM335</f>
        <v>2057900</v>
      </c>
      <c r="D13" s="106">
        <f>Rozpis_Výdaje!CY335</f>
        <v>2482600</v>
      </c>
      <c r="E13" s="106">
        <f>Rozpis_Výdaje!DA335</f>
        <v>2481231</v>
      </c>
      <c r="F13" s="106">
        <f>Rozpis_Výdaje!DC335</f>
        <v>539700</v>
      </c>
      <c r="G13" s="105" t="s">
        <v>457</v>
      </c>
      <c r="H13" s="106">
        <f>Rozpis_Výdaje!DE335</f>
        <v>0</v>
      </c>
      <c r="I13" s="106">
        <f>Rozpis_Výdaje!DF335</f>
        <v>539700</v>
      </c>
      <c r="K13" s="106">
        <f>Rozpis_Výdaje!DH335</f>
        <v>0</v>
      </c>
      <c r="L13" s="106">
        <f>Rozpis_Výdaje!DI335</f>
        <v>539700</v>
      </c>
      <c r="N13" s="106">
        <f>Rozpis_Výdaje!DK335</f>
        <v>866540.65999999992</v>
      </c>
      <c r="O13" s="106">
        <f>Rozpis_Výdaje!DL335</f>
        <v>1406240.66</v>
      </c>
      <c r="Q13" s="106">
        <f>Rozpis_Výdaje!DQ335</f>
        <v>99000</v>
      </c>
      <c r="R13" s="106">
        <f>Rozpis_Výdaje!DR335</f>
        <v>1505240.66</v>
      </c>
      <c r="T13" s="106">
        <f>Rozpis_Výdaje!DT335</f>
        <v>2000</v>
      </c>
      <c r="U13" s="106">
        <f>Rozpis_Výdaje!DU335</f>
        <v>1507240.66</v>
      </c>
      <c r="W13" s="106">
        <f>Rozpis_Výdaje!DW335</f>
        <v>584000</v>
      </c>
      <c r="X13" s="106">
        <f>Rozpis_Výdaje!DX335</f>
        <v>2091240.66</v>
      </c>
      <c r="Z13" s="106">
        <f>Rozpis_Výdaje!EC335</f>
        <v>-100000</v>
      </c>
      <c r="AA13" s="106">
        <f>Rozpis_Výdaje!ED335</f>
        <v>1991240.66</v>
      </c>
    </row>
    <row r="14" spans="1:27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  <c r="K14" s="116">
        <f>K12+K13</f>
        <v>57325</v>
      </c>
      <c r="L14" s="116">
        <f>L12+L13</f>
        <v>6848714.0999999996</v>
      </c>
      <c r="N14" s="116">
        <f>N12+N13</f>
        <v>1115990.6599999999</v>
      </c>
      <c r="O14" s="116">
        <f>O12+O13</f>
        <v>7964704.7599999998</v>
      </c>
      <c r="Q14" s="116">
        <f>Q12+Q13</f>
        <v>215300</v>
      </c>
      <c r="R14" s="116">
        <f>R12+R13</f>
        <v>8180004.7599999998</v>
      </c>
      <c r="T14" s="116">
        <f>T12+T13</f>
        <v>103900</v>
      </c>
      <c r="U14" s="116">
        <f>U12+U13</f>
        <v>8283904.7599999998</v>
      </c>
      <c r="W14" s="116">
        <f>W12+W13</f>
        <v>870100</v>
      </c>
      <c r="X14" s="116">
        <f>X12+X13</f>
        <v>9154004.7599999998</v>
      </c>
      <c r="Z14" s="116">
        <f>Z12+Z13</f>
        <v>-81700</v>
      </c>
      <c r="AA14" s="116">
        <f>AA12+AA13</f>
        <v>9072304.7599999998</v>
      </c>
    </row>
    <row r="15" spans="1:27">
      <c r="H15" s="106"/>
      <c r="I15" s="106"/>
      <c r="K15" s="106"/>
      <c r="L15" s="106"/>
      <c r="N15" s="106"/>
      <c r="O15" s="106"/>
      <c r="Q15" s="106"/>
      <c r="R15" s="106"/>
      <c r="T15" s="106"/>
      <c r="U15" s="106"/>
      <c r="W15" s="106"/>
      <c r="X15" s="106"/>
      <c r="Z15" s="106"/>
      <c r="AA15" s="106"/>
    </row>
    <row r="16" spans="1:27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  <c r="K16" s="108">
        <f>K9-K14</f>
        <v>85436</v>
      </c>
      <c r="L16" s="108">
        <f>L9-L14</f>
        <v>330435.79000000004</v>
      </c>
      <c r="N16" s="108">
        <f>N9-N14</f>
        <v>129143.34000000008</v>
      </c>
      <c r="O16" s="108">
        <f>O9-O14</f>
        <v>459579.13000000082</v>
      </c>
      <c r="Q16" s="108">
        <f>Q9-Q14</f>
        <v>-77300</v>
      </c>
      <c r="R16" s="108">
        <f>R9-R14</f>
        <v>382279.13000000082</v>
      </c>
      <c r="T16" s="108">
        <f>T9-T14</f>
        <v>73100</v>
      </c>
      <c r="U16" s="108">
        <f>U9-U14</f>
        <v>455379.13000000082</v>
      </c>
      <c r="W16" s="108">
        <f>W9-W14</f>
        <v>-735100</v>
      </c>
      <c r="X16" s="108">
        <f>X9-X14</f>
        <v>-279720.86999999918</v>
      </c>
      <c r="Z16" s="108">
        <f>Z9-Z14</f>
        <v>0</v>
      </c>
      <c r="AA16" s="108">
        <f>AA9-AA14</f>
        <v>-279720.86999999918</v>
      </c>
    </row>
    <row r="17" spans="1:27">
      <c r="H17" s="106"/>
      <c r="I17" s="106"/>
      <c r="K17" s="106"/>
      <c r="L17" s="106"/>
      <c r="N17" s="106"/>
      <c r="O17" s="106"/>
      <c r="Q17" s="106"/>
      <c r="R17" s="106"/>
      <c r="T17" s="106"/>
      <c r="U17" s="106"/>
      <c r="W17" s="106"/>
      <c r="X17" s="106"/>
      <c r="Z17" s="106"/>
      <c r="AA17" s="106"/>
    </row>
    <row r="18" spans="1:27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  <c r="K18" s="114"/>
      <c r="L18" s="114"/>
      <c r="N18" s="114"/>
      <c r="O18" s="114"/>
      <c r="Q18" s="114"/>
      <c r="R18" s="114"/>
      <c r="T18" s="114"/>
      <c r="U18" s="114"/>
      <c r="W18" s="114"/>
      <c r="X18" s="114"/>
      <c r="Z18" s="114"/>
      <c r="AA18" s="114"/>
    </row>
    <row r="19" spans="1:27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  <c r="K19" s="106"/>
      <c r="L19" s="106"/>
      <c r="N19" s="106"/>
      <c r="O19" s="106"/>
      <c r="Q19" s="106"/>
      <c r="R19" s="106"/>
      <c r="T19" s="106"/>
      <c r="U19" s="106"/>
      <c r="W19" s="106">
        <v>735100</v>
      </c>
      <c r="X19" s="106">
        <v>524721</v>
      </c>
      <c r="Z19" s="106">
        <v>0</v>
      </c>
      <c r="AA19" s="106">
        <f>X19+Z19</f>
        <v>524721</v>
      </c>
    </row>
    <row r="20" spans="1:27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  <c r="K20" s="106">
        <v>-85436</v>
      </c>
      <c r="L20" s="106">
        <v>-85436</v>
      </c>
      <c r="N20" s="106">
        <v>-129143</v>
      </c>
      <c r="O20" s="106">
        <f>N20+L20</f>
        <v>-214579</v>
      </c>
      <c r="Q20" s="106">
        <v>77300</v>
      </c>
      <c r="R20" s="106">
        <f>Q20+O20</f>
        <v>-137279</v>
      </c>
      <c r="T20" s="106">
        <v>-73100</v>
      </c>
      <c r="U20" s="106">
        <f>-85379-125000</f>
        <v>-210379</v>
      </c>
      <c r="W20" s="106"/>
      <c r="X20" s="106"/>
      <c r="Z20" s="106"/>
      <c r="AA20" s="106"/>
    </row>
    <row r="21" spans="1:27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  <c r="K21" s="106"/>
      <c r="L21" s="106"/>
      <c r="N21" s="106"/>
      <c r="O21" s="106"/>
      <c r="Q21" s="106"/>
      <c r="R21" s="106"/>
      <c r="T21" s="106"/>
      <c r="U21" s="106"/>
      <c r="W21" s="106"/>
      <c r="X21" s="106"/>
      <c r="Z21" s="106"/>
      <c r="AA21" s="106"/>
    </row>
    <row r="22" spans="1:27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  <c r="K22" s="106">
        <v>0</v>
      </c>
      <c r="L22" s="106">
        <v>-245000</v>
      </c>
      <c r="N22" s="106">
        <v>0</v>
      </c>
      <c r="O22" s="106">
        <v>-245000</v>
      </c>
      <c r="Q22" s="106">
        <v>0</v>
      </c>
      <c r="R22" s="106">
        <v>-245000</v>
      </c>
      <c r="T22" s="106">
        <v>0</v>
      </c>
      <c r="U22" s="106">
        <v>-245000</v>
      </c>
      <c r="W22" s="106">
        <v>0</v>
      </c>
      <c r="X22" s="106">
        <v>-245000</v>
      </c>
      <c r="Z22" s="106">
        <v>0</v>
      </c>
      <c r="AA22" s="106">
        <v>-245000</v>
      </c>
    </row>
    <row r="23" spans="1:27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  <c r="K23" s="116">
        <f>K19+K21+K22+K20</f>
        <v>-85436</v>
      </c>
      <c r="L23" s="116">
        <f>L19+L21+L22+L20</f>
        <v>-330436</v>
      </c>
      <c r="N23" s="116">
        <f>N19+N21+N22+N20</f>
        <v>-129143</v>
      </c>
      <c r="O23" s="116">
        <f>O19+O21+O22+O20</f>
        <v>-459579</v>
      </c>
      <c r="Q23" s="116">
        <f>Q19+Q21+Q22+Q20</f>
        <v>77300</v>
      </c>
      <c r="R23" s="116">
        <f>R19+R21+R22+R20</f>
        <v>-382279</v>
      </c>
      <c r="T23" s="116">
        <f>T19+T21+T22+T20</f>
        <v>-73100</v>
      </c>
      <c r="U23" s="116">
        <f>U19+U21+U22+U20</f>
        <v>-455379</v>
      </c>
      <c r="W23" s="116">
        <f>W19+W21+W22+W20</f>
        <v>735100</v>
      </c>
      <c r="X23" s="116">
        <f>X19+X21+X22+X20</f>
        <v>279721</v>
      </c>
      <c r="Z23" s="116">
        <f>Z19+Z21+Z22+Z20</f>
        <v>0</v>
      </c>
      <c r="AA23" s="116">
        <f>AA19+AA21+AA22+AA20</f>
        <v>279721</v>
      </c>
    </row>
    <row r="24" spans="1:27">
      <c r="H24" s="106"/>
      <c r="I24" s="106"/>
      <c r="K24" s="106"/>
      <c r="L24" s="106"/>
      <c r="N24" s="106"/>
      <c r="O24" s="106"/>
      <c r="Q24" s="106"/>
      <c r="R24" s="106"/>
      <c r="T24" s="106"/>
      <c r="U24" s="106"/>
      <c r="W24" s="106"/>
      <c r="X24" s="106"/>
      <c r="Z24" s="106"/>
      <c r="AA24" s="106"/>
    </row>
    <row r="25" spans="1:27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  <c r="K25" s="110">
        <f>K9-K14+K23</f>
        <v>0</v>
      </c>
      <c r="L25" s="110">
        <f>L9-L14+L23</f>
        <v>-0.2099999999627471</v>
      </c>
      <c r="N25" s="110">
        <f>N9-N14+N23</f>
        <v>0.34000000008381903</v>
      </c>
      <c r="O25" s="110">
        <f>O9-O14+O23</f>
        <v>0.13000000081956387</v>
      </c>
      <c r="Q25" s="110">
        <f>Q9-Q14+Q23</f>
        <v>0</v>
      </c>
      <c r="R25" s="110">
        <f>R9-R14+R23</f>
        <v>0.13000000081956387</v>
      </c>
      <c r="T25" s="110">
        <f>T9-T14+T23</f>
        <v>0</v>
      </c>
      <c r="U25" s="110">
        <f>U9-U14+U23</f>
        <v>0.13000000081956387</v>
      </c>
      <c r="W25" s="110">
        <f>W9-W14+W23</f>
        <v>0</v>
      </c>
      <c r="X25" s="110">
        <f>X9-X14+X23</f>
        <v>0.13000000081956387</v>
      </c>
      <c r="Z25" s="110">
        <f>Z9-Z14+Z23</f>
        <v>0</v>
      </c>
      <c r="AA25" s="110">
        <f>AA9-AA14+AA23</f>
        <v>0.13000000081956387</v>
      </c>
    </row>
    <row r="26" spans="1:27">
      <c r="D26" s="105" t="s">
        <v>457</v>
      </c>
    </row>
    <row r="27" spans="1:27">
      <c r="A27" s="105" t="s">
        <v>597</v>
      </c>
      <c r="F27" s="105" t="s">
        <v>596</v>
      </c>
    </row>
    <row r="28" spans="1:27">
      <c r="A28" s="105" t="s">
        <v>604</v>
      </c>
      <c r="F28" s="105" t="s">
        <v>607</v>
      </c>
    </row>
    <row r="29" spans="1:27">
      <c r="A29" s="105" t="s">
        <v>605</v>
      </c>
      <c r="F29" s="105" t="s">
        <v>606</v>
      </c>
    </row>
    <row r="30" spans="1:27">
      <c r="A30" s="105" t="s">
        <v>609</v>
      </c>
      <c r="F30" s="105" t="s">
        <v>617</v>
      </c>
    </row>
    <row r="31" spans="1:27">
      <c r="A31" s="105" t="s">
        <v>621</v>
      </c>
      <c r="F31" s="105" t="s">
        <v>622</v>
      </c>
    </row>
    <row r="32" spans="1:27">
      <c r="A32" s="105" t="s">
        <v>626</v>
      </c>
      <c r="F32" s="105" t="s">
        <v>625</v>
      </c>
    </row>
    <row r="33" spans="1:26">
      <c r="A33" s="105" t="s">
        <v>628</v>
      </c>
      <c r="F33" s="105" t="s">
        <v>629</v>
      </c>
    </row>
    <row r="34" spans="1:26">
      <c r="A34" s="105" t="s">
        <v>636</v>
      </c>
      <c r="F34" s="105" t="s">
        <v>637</v>
      </c>
    </row>
    <row r="35" spans="1:26">
      <c r="F35" s="105"/>
    </row>
    <row r="36" spans="1:26">
      <c r="B36" s="132"/>
      <c r="Z36" s="105" t="s">
        <v>461</v>
      </c>
    </row>
    <row r="37" spans="1:26">
      <c r="Z37" s="105" t="s">
        <v>462</v>
      </c>
    </row>
    <row r="38" spans="1:26">
      <c r="A38" s="105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D7F5D-C8D2-44BA-A35E-34CFE8E8A027}">
  <sheetPr>
    <pageSetUpPr fitToPage="1"/>
  </sheetPr>
  <dimension ref="A2:X36"/>
  <sheetViews>
    <sheetView workbookViewId="0"/>
  </sheetViews>
  <sheetFormatPr defaultColWidth="9.140625" defaultRowHeight="15" outlineLevelCol="1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hidden="1" customWidth="1" outlineLevel="1"/>
    <col min="9" max="9" width="16.5703125" style="105" hidden="1" customWidth="1" outlineLevel="1"/>
    <col min="10" max="10" width="1.28515625" style="105" hidden="1" customWidth="1" outlineLevel="1"/>
    <col min="11" max="11" width="12.7109375" style="105" hidden="1" customWidth="1" outlineLevel="1"/>
    <col min="12" max="12" width="15.5703125" style="105" hidden="1" customWidth="1" outlineLevel="1"/>
    <col min="13" max="13" width="1.7109375" style="105" hidden="1" customWidth="1" outlineLevel="1"/>
    <col min="14" max="14" width="12.7109375" style="105" hidden="1" customWidth="1" outlineLevel="1"/>
    <col min="15" max="15" width="14.7109375" style="105" hidden="1" customWidth="1" outlineLevel="1"/>
    <col min="16" max="16" width="3.5703125" style="105" hidden="1" customWidth="1" outlineLevel="1"/>
    <col min="17" max="17" width="16.140625" style="105" hidden="1" customWidth="1" outlineLevel="1"/>
    <col min="18" max="18" width="16" style="105" hidden="1" customWidth="1" outlineLevel="1"/>
    <col min="19" max="19" width="6" style="105" customWidth="1" collapsed="1"/>
    <col min="20" max="20" width="15.7109375" style="105" customWidth="1"/>
    <col min="21" max="21" width="16.5703125" style="105" customWidth="1"/>
    <col min="22" max="22" width="9.140625" style="105"/>
    <col min="23" max="23" width="16.28515625" style="105" customWidth="1"/>
    <col min="24" max="24" width="15.7109375" style="105" customWidth="1"/>
    <col min="25" max="16384" width="9.140625" style="105"/>
  </cols>
  <sheetData>
    <row r="2" spans="1:24" ht="15.75">
      <c r="A2" s="440" t="s">
        <v>594</v>
      </c>
      <c r="B2" s="440"/>
      <c r="C2" s="440"/>
      <c r="D2" s="440"/>
      <c r="E2" s="440"/>
      <c r="F2" s="440"/>
    </row>
    <row r="3" spans="1:24" ht="15.75">
      <c r="H3" s="117" t="s">
        <v>469</v>
      </c>
      <c r="I3" s="117"/>
      <c r="K3" s="117" t="s">
        <v>478</v>
      </c>
      <c r="L3" s="117"/>
      <c r="N3" s="117" t="s">
        <v>482</v>
      </c>
      <c r="O3" s="117"/>
      <c r="Q3" s="117" t="s">
        <v>489</v>
      </c>
      <c r="R3" s="117"/>
      <c r="T3" s="117" t="s">
        <v>623</v>
      </c>
      <c r="U3" s="117"/>
      <c r="W3" s="117" t="s">
        <v>627</v>
      </c>
      <c r="X3" s="117"/>
    </row>
    <row r="4" spans="1:24" ht="47.2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368" t="s">
        <v>472</v>
      </c>
      <c r="I4" s="368" t="s">
        <v>473</v>
      </c>
      <c r="K4" s="368" t="s">
        <v>472</v>
      </c>
      <c r="L4" s="368" t="s">
        <v>473</v>
      </c>
      <c r="N4" s="368" t="s">
        <v>472</v>
      </c>
      <c r="O4" s="368" t="s">
        <v>473</v>
      </c>
      <c r="Q4" s="368" t="s">
        <v>472</v>
      </c>
      <c r="R4" s="368" t="s">
        <v>473</v>
      </c>
      <c r="T4" s="368" t="s">
        <v>472</v>
      </c>
      <c r="U4" s="368" t="s">
        <v>473</v>
      </c>
      <c r="W4" s="368" t="s">
        <v>472</v>
      </c>
      <c r="X4" s="368" t="s">
        <v>473</v>
      </c>
    </row>
    <row r="5" spans="1:24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  <c r="K5" s="106">
        <f>Rozpis_Příjmy!CX22</f>
        <v>0</v>
      </c>
      <c r="L5" s="106">
        <f>Rozpis_Příjmy!CY22</f>
        <v>6126400</v>
      </c>
      <c r="N5" s="106">
        <f>Rozpis_Příjmy!DA22</f>
        <v>0</v>
      </c>
      <c r="O5" s="106">
        <f>Rozpis_Příjmy!DB22</f>
        <v>6126400</v>
      </c>
      <c r="Q5" s="106">
        <f>Rozpis_Příjmy!DD22</f>
        <v>14000</v>
      </c>
      <c r="R5" s="106">
        <f>Rozpis_Příjmy!DE22</f>
        <v>6140400</v>
      </c>
      <c r="T5" s="106">
        <f>Rozpis_Příjmy!DG22</f>
        <v>0</v>
      </c>
      <c r="U5" s="106">
        <f>Rozpis_Příjmy!DH22</f>
        <v>6140400</v>
      </c>
      <c r="W5" s="106">
        <f>Rozpis_Příjmy!DJ22</f>
        <v>120000</v>
      </c>
      <c r="X5" s="106">
        <f>Rozpis_Příjmy!DK22</f>
        <v>6260400</v>
      </c>
    </row>
    <row r="6" spans="1:24">
      <c r="A6" s="105" t="s">
        <v>267</v>
      </c>
      <c r="B6" s="105" t="s">
        <v>268</v>
      </c>
      <c r="C6" s="106">
        <f>Rozpis_Příjmy!BO111</f>
        <v>514500</v>
      </c>
      <c r="D6" s="106">
        <f>Rozpis_Příjmy!CN111</f>
        <v>593640</v>
      </c>
      <c r="E6" s="106">
        <f>Rozpis_Příjmy!CP111</f>
        <v>435708.33</v>
      </c>
      <c r="F6" s="106">
        <f>Rozpis_Příjmy!CR111</f>
        <v>514800</v>
      </c>
      <c r="H6" s="106">
        <f>Rozpis_Příjmy!CU111</f>
        <v>-150000</v>
      </c>
      <c r="I6" s="106">
        <f>Rozpis_Příjmy!CV111</f>
        <v>364800</v>
      </c>
      <c r="K6" s="106">
        <f>Rozpis_Příjmy!CX111</f>
        <v>13000</v>
      </c>
      <c r="L6" s="106">
        <f>Rozpis_Příjmy!CY111</f>
        <v>377800</v>
      </c>
      <c r="N6" s="106">
        <f>Rozpis_Příjmy!DA111</f>
        <v>249450</v>
      </c>
      <c r="O6" s="106">
        <f>Rozpis_Příjmy!DB111</f>
        <v>627250</v>
      </c>
      <c r="Q6" s="106">
        <f>Rozpis_Příjmy!DD111</f>
        <v>16500</v>
      </c>
      <c r="R6" s="106">
        <f>Rozpis_Příjmy!DE111</f>
        <v>643750</v>
      </c>
      <c r="T6" s="106">
        <f>Rozpis_Příjmy!DG111</f>
        <v>155000</v>
      </c>
      <c r="U6" s="106">
        <f>Rozpis_Příjmy!DH111</f>
        <v>798750</v>
      </c>
      <c r="W6" s="106">
        <f>Rozpis_Příjmy!DJ111</f>
        <v>15000</v>
      </c>
      <c r="X6" s="106">
        <f>Rozpis_Příjmy!DK111</f>
        <v>813750</v>
      </c>
    </row>
    <row r="7" spans="1:24">
      <c r="A7" s="105" t="s">
        <v>269</v>
      </c>
      <c r="B7" s="105" t="s">
        <v>270</v>
      </c>
      <c r="C7" s="106">
        <f>Rozpis_Příjmy!BO89</f>
        <v>40000</v>
      </c>
      <c r="D7" s="106">
        <f>Rozpis_Příjmy!CN89</f>
        <v>70000</v>
      </c>
      <c r="E7" s="106">
        <f>Rozpis_Příjmy!CP89</f>
        <v>59144</v>
      </c>
      <c r="F7" s="106">
        <f>Rozpis_Příjmy!CR89</f>
        <v>30000</v>
      </c>
      <c r="H7" s="106">
        <f>Rozpis_Příjmy!CU89</f>
        <v>150000</v>
      </c>
      <c r="I7" s="106">
        <f>Rozpis_Příjmy!CV89</f>
        <v>180000</v>
      </c>
      <c r="K7" s="106">
        <f>Rozpis_Příjmy!CX89</f>
        <v>0</v>
      </c>
      <c r="L7" s="106">
        <f>Rozpis_Příjmy!CY89</f>
        <v>180000</v>
      </c>
      <c r="N7" s="106">
        <f>Rozpis_Příjmy!DA89</f>
        <v>0</v>
      </c>
      <c r="O7" s="106">
        <f>Rozpis_Příjmy!DB89</f>
        <v>180000</v>
      </c>
      <c r="Q7" s="106">
        <f>Rozpis_Příjmy!DD89</f>
        <v>11500</v>
      </c>
      <c r="R7" s="106">
        <f>Rozpis_Příjmy!DE89</f>
        <v>191500</v>
      </c>
      <c r="T7" s="106">
        <f>Rozpis_Příjmy!DG89</f>
        <v>0</v>
      </c>
      <c r="U7" s="106">
        <f>Rozpis_Příjmy!DH89</f>
        <v>191500</v>
      </c>
      <c r="W7" s="106">
        <f>Rozpis_Příjmy!DJ89</f>
        <v>0</v>
      </c>
      <c r="X7" s="106">
        <f>Rozpis_Příjmy!DK89</f>
        <v>191500</v>
      </c>
    </row>
    <row r="8" spans="1:24">
      <c r="A8" s="105" t="s">
        <v>271</v>
      </c>
      <c r="B8" s="105" t="s">
        <v>272</v>
      </c>
      <c r="C8" s="106">
        <f>Rozpis_Příjmy!BO33</f>
        <v>1228300</v>
      </c>
      <c r="D8" s="106">
        <f>Rozpis_Příjmy!CN33</f>
        <v>1377347.88</v>
      </c>
      <c r="E8" s="106">
        <f>Rozpis_Příjmy!CP33</f>
        <v>1377347.92</v>
      </c>
      <c r="F8" s="106">
        <f>Rozpis_Příjmy!CR33</f>
        <v>365188.89</v>
      </c>
      <c r="H8" s="106">
        <f>Rozpis_Příjmy!CU33</f>
        <v>0</v>
      </c>
      <c r="I8" s="106">
        <f>Rozpis_Příjmy!CV33</f>
        <v>365188.89</v>
      </c>
      <c r="K8" s="106">
        <f>Rozpis_Příjmy!CX33</f>
        <v>129761</v>
      </c>
      <c r="L8" s="106">
        <f>Rozpis_Příjmy!CY33</f>
        <v>494949.89</v>
      </c>
      <c r="N8" s="106">
        <f>Rozpis_Příjmy!DA33</f>
        <v>995684</v>
      </c>
      <c r="O8" s="106">
        <f>Rozpis_Příjmy!DB33</f>
        <v>1490633.8900000001</v>
      </c>
      <c r="Q8" s="106">
        <f>Rozpis_Příjmy!DD33</f>
        <v>96000</v>
      </c>
      <c r="R8" s="106">
        <f>Rozpis_Příjmy!DE33</f>
        <v>1586633.8900000001</v>
      </c>
      <c r="T8" s="106">
        <f>Rozpis_Příjmy!DG33</f>
        <v>22000</v>
      </c>
      <c r="U8" s="106">
        <f>Rozpis_Příjmy!DH33</f>
        <v>1608633.8900000001</v>
      </c>
      <c r="W8" s="106">
        <f>Rozpis_Příjmy!DJ33</f>
        <v>0</v>
      </c>
      <c r="X8" s="106">
        <f>Rozpis_Příjmy!DK33</f>
        <v>1608633.8900000001</v>
      </c>
    </row>
    <row r="9" spans="1:24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  <c r="K9" s="116">
        <f>SUM(K5:K8)</f>
        <v>142761</v>
      </c>
      <c r="L9" s="116">
        <f>SUM(L5:L8)</f>
        <v>7179149.8899999997</v>
      </c>
      <c r="N9" s="116">
        <f>SUM(N5:N8)</f>
        <v>1245134</v>
      </c>
      <c r="O9" s="116">
        <f>SUM(O5:O8)</f>
        <v>8424283.8900000006</v>
      </c>
      <c r="Q9" s="116">
        <f>SUM(Q5:Q8)</f>
        <v>138000</v>
      </c>
      <c r="R9" s="116">
        <f>SUM(R5:R8)</f>
        <v>8562283.8900000006</v>
      </c>
      <c r="T9" s="116">
        <f>SUM(T5:T8)</f>
        <v>177000</v>
      </c>
      <c r="U9" s="116">
        <f>SUM(U5:U8)</f>
        <v>8739283.8900000006</v>
      </c>
      <c r="W9" s="116">
        <f>SUM(W5:W8)</f>
        <v>135000</v>
      </c>
      <c r="X9" s="116">
        <f>SUM(X5:X8)</f>
        <v>8874283.8900000006</v>
      </c>
    </row>
    <row r="10" spans="1:24">
      <c r="H10" s="106"/>
      <c r="I10" s="106"/>
      <c r="K10" s="106"/>
      <c r="L10" s="106"/>
      <c r="N10" s="106"/>
      <c r="O10" s="106"/>
      <c r="Q10" s="106"/>
      <c r="R10" s="106"/>
      <c r="T10" s="106"/>
      <c r="U10" s="106"/>
      <c r="W10" s="106"/>
      <c r="X10" s="106"/>
    </row>
    <row r="11" spans="1:24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  <c r="K11" s="114"/>
      <c r="L11" s="114"/>
      <c r="N11" s="114"/>
      <c r="O11" s="114"/>
      <c r="Q11" s="114"/>
      <c r="R11" s="114"/>
      <c r="T11" s="114"/>
      <c r="U11" s="114"/>
      <c r="W11" s="114"/>
      <c r="X11" s="114"/>
    </row>
    <row r="12" spans="1:24">
      <c r="A12" s="105" t="s">
        <v>274</v>
      </c>
      <c r="B12" s="105" t="s">
        <v>275</v>
      </c>
      <c r="C12" s="106">
        <f>Rozpis_Výdaje!BM332</f>
        <v>7195600</v>
      </c>
      <c r="D12" s="106">
        <f>Rozpis_Výdaje!CY332</f>
        <v>7479854.8899999997</v>
      </c>
      <c r="E12" s="106">
        <f>Rozpis_Výdaje!DA332</f>
        <v>7594747.4400000004</v>
      </c>
      <c r="F12" s="106">
        <f>Rozpis_Výdaje!DC332</f>
        <v>6251689.0999999996</v>
      </c>
      <c r="H12" s="106">
        <f>Rozpis_Výdaje!DE332</f>
        <v>0</v>
      </c>
      <c r="I12" s="106">
        <f>Rozpis_Výdaje!DF332</f>
        <v>6251689.0999999996</v>
      </c>
      <c r="K12" s="106">
        <f>Rozpis_Výdaje!DH332</f>
        <v>57325</v>
      </c>
      <c r="L12" s="106">
        <f>Rozpis_Výdaje!DI332</f>
        <v>6309014.0999999996</v>
      </c>
      <c r="N12" s="106">
        <f>Rozpis_Výdaje!DK332</f>
        <v>249450</v>
      </c>
      <c r="O12" s="106">
        <f>Rozpis_Výdaje!DL332</f>
        <v>6558464.0999999996</v>
      </c>
      <c r="Q12" s="106">
        <f>Rozpis_Výdaje!DQ332</f>
        <v>116300</v>
      </c>
      <c r="R12" s="106">
        <f>Rozpis_Výdaje!DR332</f>
        <v>6674764.0999999996</v>
      </c>
      <c r="T12" s="106">
        <f>Rozpis_Výdaje!DT332</f>
        <v>101900</v>
      </c>
      <c r="U12" s="106">
        <f>Rozpis_Výdaje!DU332</f>
        <v>6776664.0999999996</v>
      </c>
      <c r="W12" s="106">
        <f>Rozpis_Výdaje!DW332</f>
        <v>286100</v>
      </c>
      <c r="X12" s="106">
        <f>Rozpis_Výdaje!DX332</f>
        <v>7062764.0999999996</v>
      </c>
    </row>
    <row r="13" spans="1:24">
      <c r="A13" s="105" t="s">
        <v>276</v>
      </c>
      <c r="B13" s="105" t="s">
        <v>277</v>
      </c>
      <c r="C13" s="106">
        <f>Rozpis_Výdaje!BM335</f>
        <v>2057900</v>
      </c>
      <c r="D13" s="106">
        <f>Rozpis_Výdaje!CY335</f>
        <v>2482600</v>
      </c>
      <c r="E13" s="106">
        <f>Rozpis_Výdaje!DA335</f>
        <v>2481231</v>
      </c>
      <c r="F13" s="106">
        <f>Rozpis_Výdaje!DC335</f>
        <v>539700</v>
      </c>
      <c r="G13" s="105" t="s">
        <v>457</v>
      </c>
      <c r="H13" s="106">
        <f>Rozpis_Výdaje!DE335</f>
        <v>0</v>
      </c>
      <c r="I13" s="106">
        <f>Rozpis_Výdaje!DF335</f>
        <v>539700</v>
      </c>
      <c r="K13" s="106">
        <f>Rozpis_Výdaje!DH335</f>
        <v>0</v>
      </c>
      <c r="L13" s="106">
        <f>Rozpis_Výdaje!DI335</f>
        <v>539700</v>
      </c>
      <c r="N13" s="106">
        <f>Rozpis_Výdaje!DK335</f>
        <v>866540.65999999992</v>
      </c>
      <c r="O13" s="106">
        <f>Rozpis_Výdaje!DL335</f>
        <v>1406240.66</v>
      </c>
      <c r="Q13" s="106">
        <f>Rozpis_Výdaje!DQ335</f>
        <v>99000</v>
      </c>
      <c r="R13" s="106">
        <f>Rozpis_Výdaje!DR335</f>
        <v>1505240.66</v>
      </c>
      <c r="T13" s="106">
        <f>Rozpis_Výdaje!DT335</f>
        <v>2000</v>
      </c>
      <c r="U13" s="106">
        <f>Rozpis_Výdaje!DU335</f>
        <v>1507240.66</v>
      </c>
      <c r="W13" s="106">
        <f>Rozpis_Výdaje!DW335</f>
        <v>584000</v>
      </c>
      <c r="X13" s="106">
        <f>Rozpis_Výdaje!DX335</f>
        <v>2091240.66</v>
      </c>
    </row>
    <row r="14" spans="1:24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  <c r="K14" s="116">
        <f>K12+K13</f>
        <v>57325</v>
      </c>
      <c r="L14" s="116">
        <f>L12+L13</f>
        <v>6848714.0999999996</v>
      </c>
      <c r="N14" s="116">
        <f>N12+N13</f>
        <v>1115990.6599999999</v>
      </c>
      <c r="O14" s="116">
        <f>O12+O13</f>
        <v>7964704.7599999998</v>
      </c>
      <c r="Q14" s="116">
        <f>Q12+Q13</f>
        <v>215300</v>
      </c>
      <c r="R14" s="116">
        <f>R12+R13</f>
        <v>8180004.7599999998</v>
      </c>
      <c r="T14" s="116">
        <f>T12+T13</f>
        <v>103900</v>
      </c>
      <c r="U14" s="116">
        <f>U12+U13</f>
        <v>8283904.7599999998</v>
      </c>
      <c r="W14" s="116">
        <f>W12+W13</f>
        <v>870100</v>
      </c>
      <c r="X14" s="116">
        <f>X12+X13</f>
        <v>9154004.7599999998</v>
      </c>
    </row>
    <row r="15" spans="1:24">
      <c r="H15" s="106"/>
      <c r="I15" s="106"/>
      <c r="K15" s="106"/>
      <c r="L15" s="106"/>
      <c r="N15" s="106"/>
      <c r="O15" s="106"/>
      <c r="Q15" s="106"/>
      <c r="R15" s="106"/>
      <c r="T15" s="106"/>
      <c r="U15" s="106"/>
      <c r="W15" s="106"/>
      <c r="X15" s="106"/>
    </row>
    <row r="16" spans="1:24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  <c r="K16" s="108">
        <f>K9-K14</f>
        <v>85436</v>
      </c>
      <c r="L16" s="108">
        <f>L9-L14</f>
        <v>330435.79000000004</v>
      </c>
      <c r="N16" s="108">
        <f>N9-N14</f>
        <v>129143.34000000008</v>
      </c>
      <c r="O16" s="108">
        <f>O9-O14</f>
        <v>459579.13000000082</v>
      </c>
      <c r="Q16" s="108">
        <f>Q9-Q14</f>
        <v>-77300</v>
      </c>
      <c r="R16" s="108">
        <f>R9-R14</f>
        <v>382279.13000000082</v>
      </c>
      <c r="T16" s="108">
        <f>T9-T14</f>
        <v>73100</v>
      </c>
      <c r="U16" s="108">
        <f>U9-U14</f>
        <v>455379.13000000082</v>
      </c>
      <c r="W16" s="108">
        <f>W9-W14</f>
        <v>-735100</v>
      </c>
      <c r="X16" s="108">
        <f>X9-X14</f>
        <v>-279720.86999999918</v>
      </c>
    </row>
    <row r="17" spans="1:24">
      <c r="H17" s="106"/>
      <c r="I17" s="106"/>
      <c r="K17" s="106"/>
      <c r="L17" s="106"/>
      <c r="N17" s="106"/>
      <c r="O17" s="106"/>
      <c r="Q17" s="106"/>
      <c r="R17" s="106"/>
      <c r="T17" s="106"/>
      <c r="U17" s="106"/>
      <c r="W17" s="106"/>
      <c r="X17" s="106"/>
    </row>
    <row r="18" spans="1:24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  <c r="K18" s="114"/>
      <c r="L18" s="114"/>
      <c r="N18" s="114"/>
      <c r="O18" s="114"/>
      <c r="Q18" s="114"/>
      <c r="R18" s="114"/>
      <c r="T18" s="114"/>
      <c r="U18" s="114"/>
      <c r="W18" s="114"/>
      <c r="X18" s="114"/>
    </row>
    <row r="19" spans="1:24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  <c r="K19" s="106"/>
      <c r="L19" s="106"/>
      <c r="N19" s="106"/>
      <c r="O19" s="106"/>
      <c r="Q19" s="106"/>
      <c r="R19" s="106"/>
      <c r="T19" s="106"/>
      <c r="U19" s="106"/>
      <c r="W19" s="106">
        <v>735100</v>
      </c>
      <c r="X19" s="106">
        <v>524721</v>
      </c>
    </row>
    <row r="20" spans="1:24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  <c r="K20" s="106">
        <v>-85436</v>
      </c>
      <c r="L20" s="106">
        <v>-85436</v>
      </c>
      <c r="N20" s="106">
        <v>-129143</v>
      </c>
      <c r="O20" s="106">
        <f>N20+L20</f>
        <v>-214579</v>
      </c>
      <c r="Q20" s="106">
        <v>77300</v>
      </c>
      <c r="R20" s="106">
        <f>Q20+O20</f>
        <v>-137279</v>
      </c>
      <c r="T20" s="106">
        <v>-73100</v>
      </c>
      <c r="U20" s="106">
        <f>-85379-125000</f>
        <v>-210379</v>
      </c>
      <c r="W20" s="106"/>
      <c r="X20" s="106"/>
    </row>
    <row r="21" spans="1:24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  <c r="K21" s="106"/>
      <c r="L21" s="106"/>
      <c r="N21" s="106"/>
      <c r="O21" s="106"/>
      <c r="Q21" s="106"/>
      <c r="R21" s="106"/>
      <c r="T21" s="106"/>
      <c r="U21" s="106"/>
      <c r="W21" s="106"/>
      <c r="X21" s="106"/>
    </row>
    <row r="22" spans="1:24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  <c r="K22" s="106">
        <v>0</v>
      </c>
      <c r="L22" s="106">
        <v>-245000</v>
      </c>
      <c r="N22" s="106">
        <v>0</v>
      </c>
      <c r="O22" s="106">
        <v>-245000</v>
      </c>
      <c r="Q22" s="106">
        <v>0</v>
      </c>
      <c r="R22" s="106">
        <v>-245000</v>
      </c>
      <c r="T22" s="106">
        <v>0</v>
      </c>
      <c r="U22" s="106">
        <v>-245000</v>
      </c>
      <c r="W22" s="106">
        <v>0</v>
      </c>
      <c r="X22" s="106">
        <v>-245000</v>
      </c>
    </row>
    <row r="23" spans="1:24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  <c r="K23" s="116">
        <f>K19+K21+K22+K20</f>
        <v>-85436</v>
      </c>
      <c r="L23" s="116">
        <f>L19+L21+L22+L20</f>
        <v>-330436</v>
      </c>
      <c r="N23" s="116">
        <f>N19+N21+N22+N20</f>
        <v>-129143</v>
      </c>
      <c r="O23" s="116">
        <f>O19+O21+O22+O20</f>
        <v>-459579</v>
      </c>
      <c r="Q23" s="116">
        <f>Q19+Q21+Q22+Q20</f>
        <v>77300</v>
      </c>
      <c r="R23" s="116">
        <f>R19+R21+R22+R20</f>
        <v>-382279</v>
      </c>
      <c r="T23" s="116">
        <f>T19+T21+T22+T20</f>
        <v>-73100</v>
      </c>
      <c r="U23" s="116">
        <f>U19+U21+U22+U20</f>
        <v>-455379</v>
      </c>
      <c r="W23" s="116">
        <f>W19+W21+W22+W20</f>
        <v>735100</v>
      </c>
      <c r="X23" s="116">
        <f>X19+X21+X22+X20</f>
        <v>279721</v>
      </c>
    </row>
    <row r="24" spans="1:24">
      <c r="H24" s="106"/>
      <c r="I24" s="106"/>
      <c r="K24" s="106"/>
      <c r="L24" s="106"/>
      <c r="N24" s="106"/>
      <c r="O24" s="106"/>
      <c r="Q24" s="106"/>
      <c r="R24" s="106"/>
      <c r="T24" s="106"/>
      <c r="U24" s="106"/>
      <c r="W24" s="106"/>
      <c r="X24" s="106"/>
    </row>
    <row r="25" spans="1:24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  <c r="K25" s="110">
        <f>K9-K14+K23</f>
        <v>0</v>
      </c>
      <c r="L25" s="110">
        <f>L9-L14+L23</f>
        <v>-0.2099999999627471</v>
      </c>
      <c r="N25" s="110">
        <f>N9-N14+N23</f>
        <v>0.34000000008381903</v>
      </c>
      <c r="O25" s="110">
        <f>O9-O14+O23</f>
        <v>0.13000000081956387</v>
      </c>
      <c r="Q25" s="110">
        <f>Q9-Q14+Q23</f>
        <v>0</v>
      </c>
      <c r="R25" s="110">
        <f>R9-R14+R23</f>
        <v>0.13000000081956387</v>
      </c>
      <c r="T25" s="110">
        <f>T9-T14+T23</f>
        <v>0</v>
      </c>
      <c r="U25" s="110">
        <f>U9-U14+U23</f>
        <v>0.13000000081956387</v>
      </c>
      <c r="W25" s="110">
        <f>W9-W14+W23</f>
        <v>0</v>
      </c>
      <c r="X25" s="110">
        <f>X9-X14+X23</f>
        <v>0.13000000081956387</v>
      </c>
    </row>
    <row r="26" spans="1:24">
      <c r="D26" s="105" t="s">
        <v>457</v>
      </c>
    </row>
    <row r="27" spans="1:24">
      <c r="A27" s="105" t="s">
        <v>597</v>
      </c>
      <c r="F27" s="105" t="s">
        <v>596</v>
      </c>
    </row>
    <row r="28" spans="1:24">
      <c r="A28" s="105" t="s">
        <v>604</v>
      </c>
      <c r="F28" s="105" t="s">
        <v>607</v>
      </c>
    </row>
    <row r="29" spans="1:24">
      <c r="A29" s="105" t="s">
        <v>605</v>
      </c>
      <c r="F29" s="105" t="s">
        <v>606</v>
      </c>
    </row>
    <row r="30" spans="1:24">
      <c r="A30" s="105" t="s">
        <v>609</v>
      </c>
      <c r="F30" s="105" t="s">
        <v>617</v>
      </c>
    </row>
    <row r="31" spans="1:24">
      <c r="A31" s="105" t="s">
        <v>621</v>
      </c>
      <c r="F31" s="105" t="s">
        <v>622</v>
      </c>
    </row>
    <row r="32" spans="1:24">
      <c r="A32" s="105" t="s">
        <v>626</v>
      </c>
      <c r="F32" s="105" t="s">
        <v>625</v>
      </c>
    </row>
    <row r="33" spans="1:23">
      <c r="A33" s="105" t="s">
        <v>628</v>
      </c>
      <c r="F33" s="105" t="s">
        <v>629</v>
      </c>
    </row>
    <row r="34" spans="1:23">
      <c r="B34" s="132"/>
      <c r="W34" s="105" t="s">
        <v>461</v>
      </c>
    </row>
    <row r="35" spans="1:23">
      <c r="W35" s="105" t="s">
        <v>462</v>
      </c>
    </row>
    <row r="36" spans="1:23">
      <c r="A36" s="105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37C01-445C-4FD8-8F0F-BBD0B16D6758}">
  <sheetPr>
    <pageSetUpPr fitToPage="1"/>
  </sheetPr>
  <dimension ref="A2:U36"/>
  <sheetViews>
    <sheetView workbookViewId="0"/>
  </sheetViews>
  <sheetFormatPr defaultColWidth="9.140625" defaultRowHeight="15" outlineLevelCol="1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hidden="1" customWidth="1" outlineLevel="1"/>
    <col min="9" max="9" width="16.5703125" style="105" hidden="1" customWidth="1" outlineLevel="1"/>
    <col min="10" max="10" width="1.28515625" style="105" hidden="1" customWidth="1" outlineLevel="1"/>
    <col min="11" max="11" width="12.7109375" style="105" hidden="1" customWidth="1" outlineLevel="1"/>
    <col min="12" max="12" width="15.5703125" style="105" hidden="1" customWidth="1" outlineLevel="1"/>
    <col min="13" max="13" width="1.7109375" style="105" hidden="1" customWidth="1" outlineLevel="1"/>
    <col min="14" max="14" width="12.7109375" style="105" hidden="1" customWidth="1" outlineLevel="1"/>
    <col min="15" max="15" width="14.7109375" style="105" hidden="1" customWidth="1" outlineLevel="1"/>
    <col min="16" max="16" width="3.5703125" style="105" customWidth="1" collapsed="1"/>
    <col min="17" max="17" width="16.140625" style="105" customWidth="1"/>
    <col min="18" max="18" width="16" style="105" customWidth="1"/>
    <col min="19" max="19" width="6" style="105" customWidth="1"/>
    <col min="20" max="20" width="15.7109375" style="105" customWidth="1"/>
    <col min="21" max="21" width="16.5703125" style="105" customWidth="1"/>
    <col min="22" max="16384" width="9.140625" style="105"/>
  </cols>
  <sheetData>
    <row r="2" spans="1:21" ht="15.75">
      <c r="A2" s="440" t="s">
        <v>594</v>
      </c>
      <c r="B2" s="440"/>
      <c r="C2" s="440"/>
      <c r="D2" s="440"/>
      <c r="E2" s="440"/>
      <c r="F2" s="440"/>
    </row>
    <row r="3" spans="1:21" ht="15.75">
      <c r="H3" s="117" t="s">
        <v>469</v>
      </c>
      <c r="I3" s="117"/>
      <c r="K3" s="117" t="s">
        <v>478</v>
      </c>
      <c r="L3" s="117"/>
      <c r="N3" s="117" t="s">
        <v>482</v>
      </c>
      <c r="O3" s="117"/>
      <c r="Q3" s="117" t="s">
        <v>489</v>
      </c>
      <c r="R3" s="117"/>
      <c r="T3" s="117" t="s">
        <v>623</v>
      </c>
      <c r="U3" s="117"/>
    </row>
    <row r="4" spans="1:21" ht="47.2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368" t="s">
        <v>472</v>
      </c>
      <c r="I4" s="368" t="s">
        <v>473</v>
      </c>
      <c r="K4" s="368" t="s">
        <v>472</v>
      </c>
      <c r="L4" s="368" t="s">
        <v>473</v>
      </c>
      <c r="N4" s="368" t="s">
        <v>472</v>
      </c>
      <c r="O4" s="368" t="s">
        <v>473</v>
      </c>
      <c r="Q4" s="368" t="s">
        <v>472</v>
      </c>
      <c r="R4" s="368" t="s">
        <v>473</v>
      </c>
      <c r="T4" s="368" t="s">
        <v>472</v>
      </c>
      <c r="U4" s="368" t="s">
        <v>473</v>
      </c>
    </row>
    <row r="5" spans="1:21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  <c r="K5" s="106">
        <f>Rozpis_Příjmy!CX22</f>
        <v>0</v>
      </c>
      <c r="L5" s="106">
        <f>Rozpis_Příjmy!CY22</f>
        <v>6126400</v>
      </c>
      <c r="N5" s="106">
        <f>Rozpis_Příjmy!DA22</f>
        <v>0</v>
      </c>
      <c r="O5" s="106">
        <f>Rozpis_Příjmy!DB22</f>
        <v>6126400</v>
      </c>
      <c r="Q5" s="106">
        <f>Rozpis_Příjmy!DD22</f>
        <v>14000</v>
      </c>
      <c r="R5" s="106">
        <f>Rozpis_Příjmy!DE22</f>
        <v>6140400</v>
      </c>
      <c r="T5" s="106">
        <f>Rozpis_Příjmy!DG22</f>
        <v>0</v>
      </c>
      <c r="U5" s="106">
        <f>Rozpis_Příjmy!DH22</f>
        <v>6140400</v>
      </c>
    </row>
    <row r="6" spans="1:21">
      <c r="A6" s="105" t="s">
        <v>267</v>
      </c>
      <c r="B6" s="105" t="s">
        <v>268</v>
      </c>
      <c r="C6" s="106">
        <f>Rozpis_Příjmy!BO111</f>
        <v>514500</v>
      </c>
      <c r="D6" s="106">
        <f>Rozpis_Příjmy!CN111</f>
        <v>593640</v>
      </c>
      <c r="E6" s="106">
        <f>Rozpis_Příjmy!CP111</f>
        <v>435708.33</v>
      </c>
      <c r="F6" s="106">
        <f>Rozpis_Příjmy!CR111</f>
        <v>514800</v>
      </c>
      <c r="H6" s="106">
        <f>Rozpis_Příjmy!CU111</f>
        <v>-150000</v>
      </c>
      <c r="I6" s="106">
        <f>Rozpis_Příjmy!CV111</f>
        <v>364800</v>
      </c>
      <c r="K6" s="106">
        <f>Rozpis_Příjmy!CX111</f>
        <v>13000</v>
      </c>
      <c r="L6" s="106">
        <f>Rozpis_Příjmy!CY111</f>
        <v>377800</v>
      </c>
      <c r="N6" s="106">
        <f>Rozpis_Příjmy!DA111</f>
        <v>249450</v>
      </c>
      <c r="O6" s="106">
        <f>Rozpis_Příjmy!DB111</f>
        <v>627250</v>
      </c>
      <c r="Q6" s="106">
        <f>Rozpis_Příjmy!DD111</f>
        <v>16500</v>
      </c>
      <c r="R6" s="106">
        <f>Rozpis_Příjmy!DE111</f>
        <v>643750</v>
      </c>
      <c r="T6" s="106">
        <f>Rozpis_Příjmy!DG111</f>
        <v>155000</v>
      </c>
      <c r="U6" s="106">
        <f>Rozpis_Příjmy!DH111</f>
        <v>798750</v>
      </c>
    </row>
    <row r="7" spans="1:21">
      <c r="A7" s="105" t="s">
        <v>269</v>
      </c>
      <c r="B7" s="105" t="s">
        <v>270</v>
      </c>
      <c r="C7" s="106">
        <f>Rozpis_Příjmy!BO89</f>
        <v>40000</v>
      </c>
      <c r="D7" s="106">
        <f>Rozpis_Příjmy!CN89</f>
        <v>70000</v>
      </c>
      <c r="E7" s="106">
        <f>Rozpis_Příjmy!CP89</f>
        <v>59144</v>
      </c>
      <c r="F7" s="106">
        <f>Rozpis_Příjmy!CR89</f>
        <v>30000</v>
      </c>
      <c r="H7" s="106">
        <f>Rozpis_Příjmy!CU89</f>
        <v>150000</v>
      </c>
      <c r="I7" s="106">
        <f>Rozpis_Příjmy!CV89</f>
        <v>180000</v>
      </c>
      <c r="K7" s="106">
        <f>Rozpis_Příjmy!CX89</f>
        <v>0</v>
      </c>
      <c r="L7" s="106">
        <f>Rozpis_Příjmy!CY89</f>
        <v>180000</v>
      </c>
      <c r="N7" s="106">
        <f>Rozpis_Příjmy!DA89</f>
        <v>0</v>
      </c>
      <c r="O7" s="106">
        <f>Rozpis_Příjmy!DB89</f>
        <v>180000</v>
      </c>
      <c r="Q7" s="106">
        <f>Rozpis_Příjmy!DD89</f>
        <v>11500</v>
      </c>
      <c r="R7" s="106">
        <f>Rozpis_Příjmy!DE89</f>
        <v>191500</v>
      </c>
      <c r="T7" s="106">
        <f>Rozpis_Příjmy!DG89</f>
        <v>0</v>
      </c>
      <c r="U7" s="106">
        <f>Rozpis_Příjmy!DH89</f>
        <v>191500</v>
      </c>
    </row>
    <row r="8" spans="1:21">
      <c r="A8" s="105" t="s">
        <v>271</v>
      </c>
      <c r="B8" s="105" t="s">
        <v>272</v>
      </c>
      <c r="C8" s="106">
        <f>Rozpis_Příjmy!BO33</f>
        <v>1228300</v>
      </c>
      <c r="D8" s="106">
        <f>Rozpis_Příjmy!CN33</f>
        <v>1377347.88</v>
      </c>
      <c r="E8" s="106">
        <f>Rozpis_Příjmy!CP33</f>
        <v>1377347.92</v>
      </c>
      <c r="F8" s="106">
        <f>Rozpis_Příjmy!CR33</f>
        <v>365188.89</v>
      </c>
      <c r="H8" s="106">
        <f>Rozpis_Příjmy!CU33</f>
        <v>0</v>
      </c>
      <c r="I8" s="106">
        <f>Rozpis_Příjmy!CV33</f>
        <v>365188.89</v>
      </c>
      <c r="K8" s="106">
        <f>Rozpis_Příjmy!CX33</f>
        <v>129761</v>
      </c>
      <c r="L8" s="106">
        <f>Rozpis_Příjmy!CY33</f>
        <v>494949.89</v>
      </c>
      <c r="N8" s="106">
        <f>Rozpis_Příjmy!DA33</f>
        <v>995684</v>
      </c>
      <c r="O8" s="106">
        <f>Rozpis_Příjmy!DB33</f>
        <v>1490633.8900000001</v>
      </c>
      <c r="Q8" s="106">
        <f>Rozpis_Příjmy!DD33</f>
        <v>96000</v>
      </c>
      <c r="R8" s="106">
        <f>Rozpis_Příjmy!DE33</f>
        <v>1586633.8900000001</v>
      </c>
      <c r="T8" s="106">
        <f>Rozpis_Příjmy!DG33</f>
        <v>22000</v>
      </c>
      <c r="U8" s="106">
        <f>Rozpis_Příjmy!DH33</f>
        <v>1608633.8900000001</v>
      </c>
    </row>
    <row r="9" spans="1:21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  <c r="K9" s="116">
        <f>SUM(K5:K8)</f>
        <v>142761</v>
      </c>
      <c r="L9" s="116">
        <f>SUM(L5:L8)</f>
        <v>7179149.8899999997</v>
      </c>
      <c r="N9" s="116">
        <f>SUM(N5:N8)</f>
        <v>1245134</v>
      </c>
      <c r="O9" s="116">
        <f>SUM(O5:O8)</f>
        <v>8424283.8900000006</v>
      </c>
      <c r="Q9" s="116">
        <f>SUM(Q5:Q8)</f>
        <v>138000</v>
      </c>
      <c r="R9" s="116">
        <f>SUM(R5:R8)</f>
        <v>8562283.8900000006</v>
      </c>
      <c r="T9" s="116">
        <f>SUM(T5:T8)</f>
        <v>177000</v>
      </c>
      <c r="U9" s="116">
        <f>SUM(U5:U8)</f>
        <v>8739283.8900000006</v>
      </c>
    </row>
    <row r="10" spans="1:21">
      <c r="H10" s="106"/>
      <c r="I10" s="106"/>
      <c r="K10" s="106"/>
      <c r="L10" s="106"/>
      <c r="N10" s="106"/>
      <c r="O10" s="106"/>
      <c r="Q10" s="106"/>
      <c r="R10" s="106"/>
      <c r="T10" s="106"/>
      <c r="U10" s="106"/>
    </row>
    <row r="11" spans="1:21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  <c r="K11" s="114"/>
      <c r="L11" s="114"/>
      <c r="N11" s="114"/>
      <c r="O11" s="114"/>
      <c r="Q11" s="114"/>
      <c r="R11" s="114"/>
      <c r="T11" s="114"/>
      <c r="U11" s="114"/>
    </row>
    <row r="12" spans="1:21">
      <c r="A12" s="105" t="s">
        <v>274</v>
      </c>
      <c r="B12" s="105" t="s">
        <v>275</v>
      </c>
      <c r="C12" s="106">
        <f>Rozpis_Výdaje!BM332</f>
        <v>7195600</v>
      </c>
      <c r="D12" s="106">
        <f>Rozpis_Výdaje!CY332</f>
        <v>7479854.8899999997</v>
      </c>
      <c r="E12" s="106">
        <f>Rozpis_Výdaje!DA332</f>
        <v>7594747.4400000004</v>
      </c>
      <c r="F12" s="106">
        <f>Rozpis_Výdaje!DC332</f>
        <v>6251689.0999999996</v>
      </c>
      <c r="H12" s="106">
        <f>Rozpis_Výdaje!DE332</f>
        <v>0</v>
      </c>
      <c r="I12" s="106">
        <f>Rozpis_Výdaje!DF332</f>
        <v>6251689.0999999996</v>
      </c>
      <c r="K12" s="106">
        <f>Rozpis_Výdaje!DH332</f>
        <v>57325</v>
      </c>
      <c r="L12" s="106">
        <f>Rozpis_Výdaje!DI332</f>
        <v>6309014.0999999996</v>
      </c>
      <c r="N12" s="106">
        <f>Rozpis_Výdaje!DK332</f>
        <v>249450</v>
      </c>
      <c r="O12" s="106">
        <f>Rozpis_Výdaje!DL332</f>
        <v>6558464.0999999996</v>
      </c>
      <c r="Q12" s="106">
        <f>Rozpis_Výdaje!DQ332</f>
        <v>116300</v>
      </c>
      <c r="R12" s="106">
        <f>Rozpis_Výdaje!DR332</f>
        <v>6674764.0999999996</v>
      </c>
      <c r="T12" s="106">
        <f>Rozpis_Výdaje!DT332</f>
        <v>101900</v>
      </c>
      <c r="U12" s="106">
        <f>Rozpis_Výdaje!DU332</f>
        <v>6776664.0999999996</v>
      </c>
    </row>
    <row r="13" spans="1:21">
      <c r="A13" s="105" t="s">
        <v>276</v>
      </c>
      <c r="B13" s="105" t="s">
        <v>277</v>
      </c>
      <c r="C13" s="106">
        <f>Rozpis_Výdaje!BM335</f>
        <v>2057900</v>
      </c>
      <c r="D13" s="106">
        <f>Rozpis_Výdaje!CY335</f>
        <v>2482600</v>
      </c>
      <c r="E13" s="106">
        <f>Rozpis_Výdaje!DA335</f>
        <v>2481231</v>
      </c>
      <c r="F13" s="106">
        <f>Rozpis_Výdaje!DC335</f>
        <v>539700</v>
      </c>
      <c r="G13" s="105" t="s">
        <v>457</v>
      </c>
      <c r="H13" s="106">
        <f>Rozpis_Výdaje!DE335</f>
        <v>0</v>
      </c>
      <c r="I13" s="106">
        <f>Rozpis_Výdaje!DF335</f>
        <v>539700</v>
      </c>
      <c r="K13" s="106">
        <f>Rozpis_Výdaje!DH335</f>
        <v>0</v>
      </c>
      <c r="L13" s="106">
        <f>Rozpis_Výdaje!DI335</f>
        <v>539700</v>
      </c>
      <c r="N13" s="106">
        <f>Rozpis_Výdaje!DK335</f>
        <v>866540.65999999992</v>
      </c>
      <c r="O13" s="106">
        <f>Rozpis_Výdaje!DL335</f>
        <v>1406240.66</v>
      </c>
      <c r="Q13" s="106">
        <f>Rozpis_Výdaje!DQ335</f>
        <v>99000</v>
      </c>
      <c r="R13" s="106">
        <f>Rozpis_Výdaje!DR335</f>
        <v>1505240.66</v>
      </c>
      <c r="T13" s="106">
        <f>Rozpis_Výdaje!DT335</f>
        <v>2000</v>
      </c>
      <c r="U13" s="106">
        <f>Rozpis_Výdaje!DU335</f>
        <v>1507240.66</v>
      </c>
    </row>
    <row r="14" spans="1:21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  <c r="K14" s="116">
        <f>K12+K13</f>
        <v>57325</v>
      </c>
      <c r="L14" s="116">
        <f>L12+L13</f>
        <v>6848714.0999999996</v>
      </c>
      <c r="N14" s="116">
        <f>N12+N13</f>
        <v>1115990.6599999999</v>
      </c>
      <c r="O14" s="116">
        <f>O12+O13</f>
        <v>7964704.7599999998</v>
      </c>
      <c r="Q14" s="116">
        <f>Q12+Q13</f>
        <v>215300</v>
      </c>
      <c r="R14" s="116">
        <f>R12+R13</f>
        <v>8180004.7599999998</v>
      </c>
      <c r="T14" s="116">
        <f>T12+T13</f>
        <v>103900</v>
      </c>
      <c r="U14" s="116">
        <f>U12+U13</f>
        <v>8283904.7599999998</v>
      </c>
    </row>
    <row r="15" spans="1:21">
      <c r="H15" s="106"/>
      <c r="I15" s="106"/>
      <c r="K15" s="106"/>
      <c r="L15" s="106"/>
      <c r="N15" s="106"/>
      <c r="O15" s="106"/>
      <c r="Q15" s="106"/>
      <c r="R15" s="106"/>
      <c r="T15" s="106"/>
      <c r="U15" s="106"/>
    </row>
    <row r="16" spans="1:21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  <c r="K16" s="108">
        <f>K9-K14</f>
        <v>85436</v>
      </c>
      <c r="L16" s="108">
        <f>L9-L14</f>
        <v>330435.79000000004</v>
      </c>
      <c r="N16" s="108">
        <f>N9-N14</f>
        <v>129143.34000000008</v>
      </c>
      <c r="O16" s="108">
        <f>O9-O14</f>
        <v>459579.13000000082</v>
      </c>
      <c r="Q16" s="108">
        <f>Q9-Q14</f>
        <v>-77300</v>
      </c>
      <c r="R16" s="108">
        <f>R9-R14</f>
        <v>382279.13000000082</v>
      </c>
      <c r="T16" s="108">
        <f>T9-T14</f>
        <v>73100</v>
      </c>
      <c r="U16" s="108">
        <f>U9-U14</f>
        <v>455379.13000000082</v>
      </c>
    </row>
    <row r="17" spans="1:21">
      <c r="H17" s="106"/>
      <c r="I17" s="106"/>
      <c r="K17" s="106"/>
      <c r="L17" s="106"/>
      <c r="N17" s="106"/>
      <c r="O17" s="106"/>
      <c r="Q17" s="106"/>
      <c r="R17" s="106"/>
      <c r="T17" s="106"/>
      <c r="U17" s="106"/>
    </row>
    <row r="18" spans="1:21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  <c r="K18" s="114"/>
      <c r="L18" s="114"/>
      <c r="N18" s="114"/>
      <c r="O18" s="114"/>
      <c r="Q18" s="114"/>
      <c r="R18" s="114"/>
      <c r="T18" s="114"/>
      <c r="U18" s="114"/>
    </row>
    <row r="19" spans="1:21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  <c r="K19" s="106"/>
      <c r="L19" s="106"/>
      <c r="N19" s="106"/>
      <c r="O19" s="106"/>
      <c r="Q19" s="106"/>
      <c r="R19" s="106"/>
      <c r="T19" s="106"/>
      <c r="U19" s="106"/>
    </row>
    <row r="20" spans="1:21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  <c r="K20" s="106">
        <v>-85436</v>
      </c>
      <c r="L20" s="106">
        <v>-85436</v>
      </c>
      <c r="N20" s="106">
        <v>-129143</v>
      </c>
      <c r="O20" s="106">
        <f>N20+L20</f>
        <v>-214579</v>
      </c>
      <c r="Q20" s="106">
        <v>77300</v>
      </c>
      <c r="R20" s="106">
        <f>Q20+O20</f>
        <v>-137279</v>
      </c>
      <c r="T20" s="106">
        <v>-73100</v>
      </c>
      <c r="U20" s="106">
        <f>-85379-125000</f>
        <v>-210379</v>
      </c>
    </row>
    <row r="21" spans="1:21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  <c r="K21" s="106"/>
      <c r="L21" s="106"/>
      <c r="N21" s="106"/>
      <c r="O21" s="106"/>
      <c r="Q21" s="106"/>
      <c r="R21" s="106"/>
      <c r="T21" s="106"/>
      <c r="U21" s="106"/>
    </row>
    <row r="22" spans="1:21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  <c r="K22" s="106">
        <v>0</v>
      </c>
      <c r="L22" s="106">
        <v>-245000</v>
      </c>
      <c r="N22" s="106">
        <v>0</v>
      </c>
      <c r="O22" s="106">
        <v>-245000</v>
      </c>
      <c r="Q22" s="106">
        <v>0</v>
      </c>
      <c r="R22" s="106">
        <v>-245000</v>
      </c>
      <c r="T22" s="106">
        <v>0</v>
      </c>
      <c r="U22" s="106">
        <v>-245000</v>
      </c>
    </row>
    <row r="23" spans="1:21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  <c r="K23" s="116">
        <f>K19+K21+K22+K20</f>
        <v>-85436</v>
      </c>
      <c r="L23" s="116">
        <f>L19+L21+L22+L20</f>
        <v>-330436</v>
      </c>
      <c r="N23" s="116">
        <f>N19+N21+N22+N20</f>
        <v>-129143</v>
      </c>
      <c r="O23" s="116">
        <f>O19+O21+O22+O20</f>
        <v>-459579</v>
      </c>
      <c r="Q23" s="116">
        <f>Q19+Q21+Q22+Q20</f>
        <v>77300</v>
      </c>
      <c r="R23" s="116">
        <f>R19+R21+R22+R20</f>
        <v>-382279</v>
      </c>
      <c r="T23" s="116">
        <f>T19+T21+T22+T20</f>
        <v>-73100</v>
      </c>
      <c r="U23" s="116">
        <f>U19+U21+U22+U20</f>
        <v>-455379</v>
      </c>
    </row>
    <row r="24" spans="1:21">
      <c r="H24" s="106"/>
      <c r="I24" s="106"/>
      <c r="K24" s="106"/>
      <c r="L24" s="106"/>
      <c r="N24" s="106"/>
      <c r="O24" s="106"/>
      <c r="Q24" s="106"/>
      <c r="R24" s="106"/>
      <c r="T24" s="106"/>
      <c r="U24" s="106"/>
    </row>
    <row r="25" spans="1:21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  <c r="K25" s="110">
        <f>K9-K14+K23</f>
        <v>0</v>
      </c>
      <c r="L25" s="110">
        <f>L9-L14+L23</f>
        <v>-0.2099999999627471</v>
      </c>
      <c r="N25" s="110">
        <f>N9-N14+N23</f>
        <v>0.34000000008381903</v>
      </c>
      <c r="O25" s="110">
        <f>O9-O14+O23</f>
        <v>0.13000000081956387</v>
      </c>
      <c r="Q25" s="110">
        <f>Q9-Q14+Q23</f>
        <v>0</v>
      </c>
      <c r="R25" s="110">
        <f>R9-R14+R23</f>
        <v>0.13000000081956387</v>
      </c>
      <c r="T25" s="110">
        <f>T9-T14+T23</f>
        <v>0</v>
      </c>
      <c r="U25" s="110">
        <f>U9-U14+U23</f>
        <v>0.13000000081956387</v>
      </c>
    </row>
    <row r="26" spans="1:21">
      <c r="D26" s="105" t="s">
        <v>457</v>
      </c>
    </row>
    <row r="27" spans="1:21">
      <c r="A27" s="105" t="s">
        <v>597</v>
      </c>
      <c r="F27" s="105" t="s">
        <v>596</v>
      </c>
    </row>
    <row r="28" spans="1:21">
      <c r="A28" s="105" t="s">
        <v>604</v>
      </c>
      <c r="F28" s="105" t="s">
        <v>607</v>
      </c>
    </row>
    <row r="29" spans="1:21">
      <c r="A29" s="105" t="s">
        <v>605</v>
      </c>
      <c r="F29" s="105" t="s">
        <v>606</v>
      </c>
    </row>
    <row r="30" spans="1:21">
      <c r="A30" s="105" t="s">
        <v>609</v>
      </c>
      <c r="F30" s="105" t="s">
        <v>617</v>
      </c>
    </row>
    <row r="31" spans="1:21">
      <c r="A31" s="105" t="s">
        <v>621</v>
      </c>
      <c r="F31" s="105" t="s">
        <v>622</v>
      </c>
    </row>
    <row r="32" spans="1:21">
      <c r="A32" s="105" t="s">
        <v>626</v>
      </c>
      <c r="F32" s="105" t="s">
        <v>625</v>
      </c>
    </row>
    <row r="33" spans="1:20">
      <c r="F33" s="105"/>
    </row>
    <row r="34" spans="1:20">
      <c r="B34" s="132"/>
      <c r="T34" s="105" t="s">
        <v>461</v>
      </c>
    </row>
    <row r="35" spans="1:20">
      <c r="T35" s="105" t="s">
        <v>462</v>
      </c>
    </row>
    <row r="36" spans="1:20">
      <c r="A36" s="105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32</vt:i4>
      </vt:variant>
      <vt:variant>
        <vt:lpstr>Pojmenované oblasti</vt:lpstr>
      </vt:variant>
      <vt:variant>
        <vt:i4>24</vt:i4>
      </vt:variant>
    </vt:vector>
  </HeadingPairs>
  <TitlesOfParts>
    <vt:vector size="56" baseType="lpstr">
      <vt:lpstr>ROZPOČET_RO4</vt:lpstr>
      <vt:lpstr>ROZPOČET_RO3</vt:lpstr>
      <vt:lpstr>ROZPOČET_RO2</vt:lpstr>
      <vt:lpstr>VÝHLED_FINAL</vt:lpstr>
      <vt:lpstr>ROZPOČET_FINAL</vt:lpstr>
      <vt:lpstr>VÝHLEDschvaleno</vt:lpstr>
      <vt:lpstr>ROZPOČET_RO7_</vt:lpstr>
      <vt:lpstr>ROZPOČET_RO6_</vt:lpstr>
      <vt:lpstr>ROZPOČET_RO5_</vt:lpstr>
      <vt:lpstr>ROZPOČET_RO4_</vt:lpstr>
      <vt:lpstr>ROZPOČET_RO3_</vt:lpstr>
      <vt:lpstr>ROZPOČET_RO3_ navrh</vt:lpstr>
      <vt:lpstr>ROZPOČET_RO2_</vt:lpstr>
      <vt:lpstr>ROZPOČET_RO1</vt:lpstr>
      <vt:lpstr>ROZPOČETschváleno</vt:lpstr>
      <vt:lpstr>VÝHLED23návrh</vt:lpstr>
      <vt:lpstr>SVR_25 navrh</vt:lpstr>
      <vt:lpstr>SVR_24</vt:lpstr>
      <vt:lpstr>SVR_24návrh</vt:lpstr>
      <vt:lpstr>RO_25</vt:lpstr>
      <vt:lpstr>RO4_24</vt:lpstr>
      <vt:lpstr>RO3_24</vt:lpstr>
      <vt:lpstr>RO2_24</vt:lpstr>
      <vt:lpstr>RO1_24</vt:lpstr>
      <vt:lpstr>RO_24</vt:lpstr>
      <vt:lpstr>RO_24návrh</vt:lpstr>
      <vt:lpstr>ROZPOČET23návrh</vt:lpstr>
      <vt:lpstr>odměny ZO 2025</vt:lpstr>
      <vt:lpstr>Rozpis_Příjmy</vt:lpstr>
      <vt:lpstr>Rozpis_Výdaje</vt:lpstr>
      <vt:lpstr>2023_vlastní aktivity</vt:lpstr>
      <vt:lpstr>odměny ZO 2023</vt:lpstr>
      <vt:lpstr>RO_24!Oblast_tisku</vt:lpstr>
      <vt:lpstr>RO_24návrh!Oblast_tisku</vt:lpstr>
      <vt:lpstr>RO_25!Oblast_tisku</vt:lpstr>
      <vt:lpstr>RO1_24!Oblast_tisku</vt:lpstr>
      <vt:lpstr>RO2_24!Oblast_tisku</vt:lpstr>
      <vt:lpstr>RO3_24!Oblast_tisku</vt:lpstr>
      <vt:lpstr>RO4_24!Oblast_tisku</vt:lpstr>
      <vt:lpstr>ROZPOČET_FINAL!Oblast_tisku</vt:lpstr>
      <vt:lpstr>ROZPOČET_RO1!Oblast_tisku</vt:lpstr>
      <vt:lpstr>ROZPOČET_RO2!Oblast_tisku</vt:lpstr>
      <vt:lpstr>ROZPOČET_RO2_!Oblast_tisku</vt:lpstr>
      <vt:lpstr>ROZPOČET_RO3!Oblast_tisku</vt:lpstr>
      <vt:lpstr>ROZPOČET_RO3_!Oblast_tisku</vt:lpstr>
      <vt:lpstr>'ROZPOČET_RO3_ navrh'!Oblast_tisku</vt:lpstr>
      <vt:lpstr>ROZPOČET_RO4!Oblast_tisku</vt:lpstr>
      <vt:lpstr>ROZPOČET_RO4_!Oblast_tisku</vt:lpstr>
      <vt:lpstr>ROZPOČET_RO5_!Oblast_tisku</vt:lpstr>
      <vt:lpstr>ROZPOČET_RO6_!Oblast_tisku</vt:lpstr>
      <vt:lpstr>ROZPOČET_RO7_!Oblast_tisku</vt:lpstr>
      <vt:lpstr>ROZPOČET23návrh!Oblast_tisku</vt:lpstr>
      <vt:lpstr>ROZPOČETschváleno!Oblast_tisku</vt:lpstr>
      <vt:lpstr>SVR_24!Oblast_tisku</vt:lpstr>
      <vt:lpstr>SVR_24návrh!Oblast_tisku</vt:lpstr>
      <vt:lpstr>'SVR_25 navrh'!Oblast_tisku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Ondratice</dc:creator>
  <cp:lastModifiedBy>Starosta</cp:lastModifiedBy>
  <cp:lastPrinted>2025-03-11T07:58:28Z</cp:lastPrinted>
  <dcterms:created xsi:type="dcterms:W3CDTF">2019-11-12T13:13:30Z</dcterms:created>
  <dcterms:modified xsi:type="dcterms:W3CDTF">2025-03-11T08:08:10Z</dcterms:modified>
</cp:coreProperties>
</file>