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ojanova\Documents\____Rok 2023\Rozpočet 2023\Rozpočet ZM\"/>
    </mc:Choice>
  </mc:AlternateContent>
  <bookViews>
    <workbookView xWindow="0" yWindow="0" windowWidth="20265" windowHeight="17490"/>
  </bookViews>
  <sheets>
    <sheet name="sumář" sheetId="1" r:id="rId1"/>
    <sheet name="příjmy" sheetId="2" r:id="rId2"/>
    <sheet name="výdaje" sheetId="3" r:id="rId3"/>
    <sheet name="okruhy rozpočtu 2023" sheetId="28" r:id="rId4"/>
    <sheet name="Závazné ukazatele 2023" sheetId="22" r:id="rId5"/>
    <sheet name="Projekty" sheetId="29" r:id="rId6"/>
  </sheets>
  <definedNames>
    <definedName name="_xlnm._FilterDatabase" localSheetId="1" hidden="1">příjmy!$A$1:$T$163</definedName>
    <definedName name="_xlnm.Print_Titles" localSheetId="1">příjmy!$A:$E,příjmy!$1:$3</definedName>
    <definedName name="_xlnm.Print_Titles" localSheetId="2">výdaje!$A:$D,výdaje!$1:$4</definedName>
    <definedName name="_xlnm.Print_Area" localSheetId="5">Projekty!$A$1:$V$23</definedName>
    <definedName name="_xlnm.Print_Area" localSheetId="1">příjmy!$A$1:$T$155</definedName>
    <definedName name="_xlnm.Print_Area" localSheetId="0">sumář!$A$1:$P$35</definedName>
    <definedName name="_xlnm.Print_Area" localSheetId="2">výdaje!$A$1:$AJ$125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2" l="1"/>
  <c r="F16" i="29" l="1"/>
  <c r="P26" i="29" l="1"/>
  <c r="G26" i="29" l="1"/>
  <c r="H26" i="29" s="1"/>
  <c r="F30" i="29"/>
  <c r="F29" i="29"/>
  <c r="H29" i="29" s="1"/>
  <c r="F28" i="29"/>
  <c r="AD73" i="3" l="1"/>
  <c r="AE37" i="3"/>
  <c r="AF118" i="3" l="1"/>
  <c r="AD93" i="3" l="1"/>
  <c r="AD6" i="3"/>
  <c r="S17" i="29" l="1"/>
  <c r="R17" i="29"/>
  <c r="J99" i="3" l="1"/>
  <c r="J100" i="3"/>
  <c r="J101" i="3"/>
  <c r="J112" i="3"/>
  <c r="J97" i="3"/>
  <c r="J96" i="3"/>
  <c r="J95" i="3"/>
  <c r="J92" i="3"/>
  <c r="J91" i="3"/>
  <c r="J90" i="3"/>
  <c r="J86" i="3"/>
  <c r="J84" i="3"/>
  <c r="J83" i="3"/>
  <c r="J82" i="3"/>
  <c r="J81" i="3"/>
  <c r="J80" i="3"/>
  <c r="J79" i="3"/>
  <c r="J77" i="3"/>
  <c r="J76" i="3"/>
  <c r="J72" i="3"/>
  <c r="J71" i="3"/>
  <c r="J70" i="3"/>
  <c r="J63" i="3"/>
  <c r="J62" i="3"/>
  <c r="J61" i="3"/>
  <c r="J60" i="3"/>
  <c r="J59" i="3"/>
  <c r="J55" i="3"/>
  <c r="J54" i="3"/>
  <c r="J51" i="3"/>
  <c r="J49" i="3"/>
  <c r="J48" i="3"/>
  <c r="J47" i="3"/>
  <c r="J45" i="3"/>
  <c r="J44" i="3"/>
  <c r="J42" i="3"/>
  <c r="J41" i="3"/>
  <c r="J38" i="3"/>
  <c r="J37" i="3"/>
  <c r="J36" i="3"/>
  <c r="J35" i="3"/>
  <c r="J34" i="3"/>
  <c r="J31" i="3"/>
  <c r="J30" i="3"/>
  <c r="J28" i="3"/>
  <c r="J27" i="3"/>
  <c r="J26" i="3"/>
  <c r="J25" i="3"/>
  <c r="J24" i="3"/>
  <c r="J23" i="3"/>
  <c r="J21" i="3"/>
  <c r="J20" i="3"/>
  <c r="J19" i="3"/>
  <c r="J18" i="3"/>
  <c r="J17" i="3"/>
  <c r="J16" i="3"/>
  <c r="J15" i="3"/>
  <c r="J13" i="3"/>
  <c r="J11" i="3"/>
  <c r="J10" i="3"/>
  <c r="J9" i="3"/>
  <c r="S147" i="2"/>
  <c r="H17" i="29"/>
  <c r="AD35" i="3" l="1"/>
  <c r="AD89" i="3"/>
  <c r="Y112" i="3" l="1"/>
  <c r="Y29" i="3" l="1"/>
  <c r="AD120" i="3" l="1"/>
  <c r="AD90" i="3" l="1"/>
  <c r="AD17" i="3"/>
  <c r="AD52" i="3"/>
  <c r="B22" i="28" l="1"/>
  <c r="B16" i="28"/>
  <c r="B15" i="28"/>
  <c r="B6" i="28"/>
  <c r="B4" i="28"/>
  <c r="B5" i="28"/>
  <c r="C5" i="28"/>
  <c r="D5" i="28" l="1"/>
  <c r="AD12" i="3" l="1"/>
  <c r="T49" i="2"/>
  <c r="H15" i="29" l="1"/>
  <c r="AE15" i="3"/>
  <c r="F15" i="29"/>
  <c r="K6" i="29" l="1"/>
  <c r="K19" i="29" s="1"/>
  <c r="H30" i="29"/>
  <c r="I8" i="29"/>
  <c r="H8" i="29" s="1"/>
  <c r="N8" i="29"/>
  <c r="R10" i="29"/>
  <c r="F25" i="29"/>
  <c r="Q25" i="29"/>
  <c r="Q19" i="29" s="1"/>
  <c r="F19" i="29"/>
  <c r="G19" i="29"/>
  <c r="I19" i="29"/>
  <c r="J19" i="29"/>
  <c r="L19" i="29"/>
  <c r="M19" i="29"/>
  <c r="N19" i="29"/>
  <c r="O19" i="29"/>
  <c r="P19" i="29"/>
  <c r="S19" i="29"/>
  <c r="T19" i="29"/>
  <c r="F22" i="29"/>
  <c r="H22" i="29" s="1"/>
  <c r="F23" i="29"/>
  <c r="H23" i="29" s="1"/>
  <c r="P23" i="29" s="1"/>
  <c r="Q24" i="29"/>
  <c r="H24" i="29" s="1"/>
  <c r="H27" i="29"/>
  <c r="I28" i="29"/>
  <c r="H28" i="29" s="1"/>
  <c r="R29" i="29"/>
  <c r="R19" i="29" l="1"/>
  <c r="H19" i="29"/>
  <c r="Q22" i="1" l="1"/>
  <c r="AD84" i="3" l="1"/>
  <c r="AD102" i="3" l="1"/>
  <c r="Y102" i="3"/>
  <c r="S59" i="2" l="1"/>
  <c r="O57" i="2" l="1"/>
  <c r="O30" i="2"/>
  <c r="O56" i="2"/>
  <c r="O77" i="2"/>
  <c r="O52" i="2"/>
  <c r="O60" i="2"/>
  <c r="O45" i="2"/>
  <c r="O44" i="2"/>
  <c r="O79" i="2"/>
  <c r="O82" i="2"/>
  <c r="O66" i="2"/>
  <c r="O75" i="2"/>
  <c r="O72" i="2" s="1"/>
  <c r="O54" i="2"/>
  <c r="O67" i="2"/>
  <c r="H128" i="2" l="1"/>
  <c r="Q128" i="2" s="1"/>
  <c r="P128" i="2" l="1"/>
  <c r="Y121" i="3"/>
  <c r="O50" i="2"/>
  <c r="AA123" i="3" l="1"/>
  <c r="AA122" i="3"/>
  <c r="AA121" i="3"/>
  <c r="AA120" i="3"/>
  <c r="AA119" i="3"/>
  <c r="AA118" i="3"/>
  <c r="AA117" i="3"/>
  <c r="AA116" i="3"/>
  <c r="AA115" i="3"/>
  <c r="AA113" i="3"/>
  <c r="AA112" i="3"/>
  <c r="AA110" i="3"/>
  <c r="AA109" i="3"/>
  <c r="AA107" i="3"/>
  <c r="AA105" i="3"/>
  <c r="AA102" i="3"/>
  <c r="AA101" i="3"/>
  <c r="AA100" i="3"/>
  <c r="AA99" i="3"/>
  <c r="AA97" i="3"/>
  <c r="AA96" i="3"/>
  <c r="AA95" i="3"/>
  <c r="AA94" i="3"/>
  <c r="AA92" i="3"/>
  <c r="AA91" i="3"/>
  <c r="AA90" i="3"/>
  <c r="AA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5" i="3"/>
  <c r="AA64" i="3"/>
  <c r="AA63" i="3"/>
  <c r="AA62" i="3"/>
  <c r="AA61" i="3"/>
  <c r="AA60" i="3"/>
  <c r="AA59" i="3"/>
  <c r="AA57" i="3"/>
  <c r="AA55" i="3"/>
  <c r="AA54" i="3"/>
  <c r="AA52" i="3"/>
  <c r="AA51" i="3"/>
  <c r="AA50" i="3"/>
  <c r="AA49" i="3"/>
  <c r="AA48" i="3"/>
  <c r="AA47" i="3"/>
  <c r="AA45" i="3"/>
  <c r="AA44" i="3"/>
  <c r="AA43" i="3"/>
  <c r="AA42" i="3"/>
  <c r="AA41" i="3"/>
  <c r="AA38" i="3"/>
  <c r="AA37" i="3"/>
  <c r="AC37" i="3" s="1"/>
  <c r="AA36" i="3"/>
  <c r="AA35" i="3"/>
  <c r="AA34" i="3"/>
  <c r="AA31" i="3"/>
  <c r="AA30" i="3"/>
  <c r="AA28" i="3"/>
  <c r="AA27" i="3"/>
  <c r="AA26" i="3"/>
  <c r="AA25" i="3"/>
  <c r="AA24" i="3"/>
  <c r="AA23" i="3"/>
  <c r="AA21" i="3"/>
  <c r="AA20" i="3"/>
  <c r="AA19" i="3"/>
  <c r="AA18" i="3"/>
  <c r="AA17" i="3"/>
  <c r="AA16" i="3"/>
  <c r="AA15" i="3"/>
  <c r="AA13" i="3"/>
  <c r="AA12" i="3"/>
  <c r="AA11" i="3"/>
  <c r="Y106" i="3"/>
  <c r="AA106" i="3" s="1"/>
  <c r="Y103" i="3"/>
  <c r="AA103" i="3" s="1"/>
  <c r="AA104" i="3" l="1"/>
  <c r="AA58" i="3"/>
  <c r="AA98" i="3"/>
  <c r="AA114" i="3"/>
  <c r="Y93" i="3"/>
  <c r="AA93" i="3" s="1"/>
  <c r="Y89" i="3"/>
  <c r="AA89" i="3" s="1"/>
  <c r="Y87" i="3"/>
  <c r="AA87" i="3" s="1"/>
  <c r="AA68" i="3" s="1"/>
  <c r="Y56" i="3"/>
  <c r="AA56" i="3" s="1"/>
  <c r="Y53" i="3"/>
  <c r="AA53" i="3" s="1"/>
  <c r="AA46" i="3" s="1"/>
  <c r="AA88" i="3" l="1"/>
  <c r="Y40" i="3"/>
  <c r="AA40" i="3" s="1"/>
  <c r="Y39" i="3"/>
  <c r="AA39" i="3" s="1"/>
  <c r="Y33" i="3" l="1"/>
  <c r="AA33" i="3" s="1"/>
  <c r="AA32" i="3" s="1"/>
  <c r="Z29" i="3"/>
  <c r="AD28" i="3"/>
  <c r="AD29" i="3"/>
  <c r="Z22" i="3"/>
  <c r="Y22" i="3"/>
  <c r="AA22" i="3" s="1"/>
  <c r="Y10" i="3"/>
  <c r="AA10" i="3" s="1"/>
  <c r="Y6" i="3"/>
  <c r="AA29" i="3" l="1"/>
  <c r="O15" i="2"/>
  <c r="O91" i="2"/>
  <c r="O53" i="2"/>
  <c r="O93" i="2"/>
  <c r="O59" i="2"/>
  <c r="H88" i="2"/>
  <c r="Q88" i="2" s="1"/>
  <c r="M57" i="2"/>
  <c r="M87" i="2"/>
  <c r="O63" i="2"/>
  <c r="O61" i="2" s="1"/>
  <c r="O111" i="2"/>
  <c r="G95" i="2"/>
  <c r="O22" i="2"/>
  <c r="O34" i="2"/>
  <c r="O20" i="2"/>
  <c r="O17" i="2"/>
  <c r="O27" i="2"/>
  <c r="O124" i="2"/>
  <c r="O28" i="2"/>
  <c r="O40" i="2" l="1"/>
  <c r="AA14" i="3"/>
  <c r="O86" i="2"/>
  <c r="H123" i="3"/>
  <c r="H133" i="2"/>
  <c r="Q133" i="2" s="1"/>
  <c r="H115" i="3"/>
  <c r="G94" i="2"/>
  <c r="H53" i="3"/>
  <c r="H122" i="2"/>
  <c r="P122" i="2" l="1"/>
  <c r="Q122" i="2"/>
  <c r="P133" i="2"/>
  <c r="B13" i="28"/>
  <c r="B11" i="28" l="1"/>
  <c r="B10" i="28"/>
  <c r="B9" i="28"/>
  <c r="B8" i="28"/>
  <c r="C17" i="28"/>
  <c r="B19" i="28"/>
  <c r="B18" i="28"/>
  <c r="B7" i="28" l="1"/>
  <c r="I102" i="3" l="1"/>
  <c r="H102" i="3"/>
  <c r="I7" i="3"/>
  <c r="I5" i="3" s="1"/>
  <c r="H7" i="3"/>
  <c r="J7" i="3" s="1"/>
  <c r="G86" i="2"/>
  <c r="G112" i="2"/>
  <c r="H50" i="3" l="1"/>
  <c r="J50" i="3" s="1"/>
  <c r="G129" i="2"/>
  <c r="H107" i="3"/>
  <c r="G123" i="2"/>
  <c r="H103" i="3"/>
  <c r="G138" i="2"/>
  <c r="AF36" i="3" l="1"/>
  <c r="AF41" i="3"/>
  <c r="AF42" i="3"/>
  <c r="AF43" i="3"/>
  <c r="AF48" i="3"/>
  <c r="AF49" i="3"/>
  <c r="AF50" i="3"/>
  <c r="AF51" i="3"/>
  <c r="AF52" i="3"/>
  <c r="AF54" i="3"/>
  <c r="AF55" i="3"/>
  <c r="AF56" i="3"/>
  <c r="AF60" i="3"/>
  <c r="AF61" i="3"/>
  <c r="AF62" i="3"/>
  <c r="AF63" i="3"/>
  <c r="AF64" i="3"/>
  <c r="AF70" i="3"/>
  <c r="AF71" i="3"/>
  <c r="AF72" i="3"/>
  <c r="AF75" i="3"/>
  <c r="AF76" i="3"/>
  <c r="C10" i="28" s="1"/>
  <c r="AF77" i="3"/>
  <c r="C11" i="28" s="1"/>
  <c r="AF79" i="3"/>
  <c r="AF80" i="3"/>
  <c r="C15" i="28" s="1"/>
  <c r="D15" i="28" s="1"/>
  <c r="AF81" i="3"/>
  <c r="AF82" i="3"/>
  <c r="AF84" i="3"/>
  <c r="AF86" i="3"/>
  <c r="C9" i="28" l="1"/>
  <c r="AF37" i="3"/>
  <c r="S28" i="2" l="1"/>
  <c r="H119" i="3" l="1"/>
  <c r="G41" i="2"/>
  <c r="H40" i="3"/>
  <c r="J40" i="3" s="1"/>
  <c r="G121" i="2"/>
  <c r="H6" i="3"/>
  <c r="G117" i="2"/>
  <c r="H110" i="3"/>
  <c r="J110" i="3" s="1"/>
  <c r="G111" i="2"/>
  <c r="G139" i="2"/>
  <c r="AD53" i="3" l="1"/>
  <c r="AF53" i="3" s="1"/>
  <c r="AF34" i="3" l="1"/>
  <c r="AF44" i="3"/>
  <c r="AF20" i="3"/>
  <c r="AF21" i="3"/>
  <c r="AF22" i="3"/>
  <c r="AF23" i="3"/>
  <c r="AF24" i="3"/>
  <c r="AF25" i="3"/>
  <c r="AF26" i="3"/>
  <c r="AF27" i="3"/>
  <c r="AF28" i="3"/>
  <c r="AF17" i="3"/>
  <c r="AF18" i="3"/>
  <c r="AF19" i="3"/>
  <c r="AF30" i="3"/>
  <c r="AF31" i="3"/>
  <c r="AF119" i="3" l="1"/>
  <c r="AD106" i="3" l="1"/>
  <c r="AD107" i="3"/>
  <c r="AF29" i="3" l="1"/>
  <c r="C6" i="28" s="1"/>
  <c r="D6" i="28" s="1"/>
  <c r="AD85" i="3"/>
  <c r="AF85" i="3" s="1"/>
  <c r="C16" i="28" s="1"/>
  <c r="D16" i="28" s="1"/>
  <c r="AD74" i="3"/>
  <c r="AF74" i="3" s="1"/>
  <c r="T44" i="2" l="1"/>
  <c r="AD38" i="3" l="1"/>
  <c r="AF38" i="3" s="1"/>
  <c r="T139" i="2" l="1"/>
  <c r="AD40" i="3" l="1"/>
  <c r="AF40" i="3" s="1"/>
  <c r="AD103" i="3" l="1"/>
  <c r="S56" i="2" l="1"/>
  <c r="B20" i="28" s="1"/>
  <c r="B17" i="28" l="1"/>
  <c r="D17" i="28" s="1"/>
  <c r="AD58" i="3" l="1"/>
  <c r="AF93" i="3"/>
  <c r="AD57" i="3" l="1"/>
  <c r="AD46" i="3" s="1"/>
  <c r="S60" i="2"/>
  <c r="B14" i="28" s="1"/>
  <c r="B12" i="28" l="1"/>
  <c r="AE114" i="3"/>
  <c r="AD114" i="3"/>
  <c r="AE108" i="3"/>
  <c r="AE98" i="3"/>
  <c r="AD98" i="3"/>
  <c r="AE88" i="3"/>
  <c r="AD88" i="3"/>
  <c r="AE68" i="3"/>
  <c r="AD8" i="3"/>
  <c r="AD5" i="3"/>
  <c r="S106" i="2"/>
  <c r="S26" i="2"/>
  <c r="S29" i="2"/>
  <c r="S35" i="2"/>
  <c r="S61" i="2"/>
  <c r="S72" i="2"/>
  <c r="T83" i="2"/>
  <c r="AD113" i="3" l="1"/>
  <c r="AF15" i="3"/>
  <c r="S15" i="3"/>
  <c r="Q14" i="3"/>
  <c r="N14" i="3"/>
  <c r="H14" i="3"/>
  <c r="W15" i="3"/>
  <c r="O15" i="3"/>
  <c r="G15" i="3"/>
  <c r="AE14" i="3" l="1"/>
  <c r="L15" i="3"/>
  <c r="AC15" i="3" s="1"/>
  <c r="AF35" i="3" l="1"/>
  <c r="X15" i="3"/>
  <c r="T15" i="3"/>
  <c r="S5" i="2" l="1"/>
  <c r="AD105" i="3" l="1"/>
  <c r="S40" i="2"/>
  <c r="AF73" i="3" l="1"/>
  <c r="S20" i="2" l="1"/>
  <c r="S14" i="2" s="1"/>
  <c r="S37" i="2" s="1"/>
  <c r="AD83" i="3" l="1"/>
  <c r="AF83" i="3" s="1"/>
  <c r="S125" i="2" l="1"/>
  <c r="B23" i="28" s="1"/>
  <c r="B21" i="28" s="1"/>
  <c r="S79" i="2" l="1"/>
  <c r="S77" i="2" s="1"/>
  <c r="S99" i="2" s="1"/>
  <c r="AD14" i="3" l="1"/>
  <c r="AD78" i="3" l="1"/>
  <c r="AD68" i="3" l="1"/>
  <c r="AF78" i="3"/>
  <c r="AD39" i="3"/>
  <c r="AF39" i="3" l="1"/>
  <c r="AD32" i="3"/>
  <c r="S108" i="2" l="1"/>
  <c r="O26" i="2" l="1"/>
  <c r="O29" i="2"/>
  <c r="O14" i="2"/>
  <c r="H33" i="3"/>
  <c r="J33" i="3" s="1"/>
  <c r="H87" i="2"/>
  <c r="Q87" i="2" s="1"/>
  <c r="H129" i="2"/>
  <c r="Q129" i="2" s="1"/>
  <c r="H120" i="2"/>
  <c r="Q120" i="2" s="1"/>
  <c r="H98" i="3"/>
  <c r="J115" i="3"/>
  <c r="L115" i="3" s="1"/>
  <c r="AC115" i="3" s="1"/>
  <c r="K21" i="3"/>
  <c r="U105" i="3"/>
  <c r="U78" i="3"/>
  <c r="W78" i="3" s="1"/>
  <c r="U102" i="3"/>
  <c r="W102" i="3" s="1"/>
  <c r="V58" i="3"/>
  <c r="V68" i="3"/>
  <c r="U115" i="3"/>
  <c r="U121" i="3"/>
  <c r="W121" i="3" s="1"/>
  <c r="U120" i="3"/>
  <c r="W120" i="3" s="1"/>
  <c r="W95" i="3"/>
  <c r="U86" i="3"/>
  <c r="U56" i="3"/>
  <c r="W56" i="3" s="1"/>
  <c r="U40" i="3"/>
  <c r="U39" i="3"/>
  <c r="W39" i="3" s="1"/>
  <c r="V29" i="3"/>
  <c r="W29" i="3" s="1"/>
  <c r="V22" i="3"/>
  <c r="U22" i="3"/>
  <c r="U14" i="3" s="1"/>
  <c r="M82" i="2"/>
  <c r="M141" i="2"/>
  <c r="M153" i="2" s="1"/>
  <c r="H91" i="2"/>
  <c r="Q91" i="2" s="1"/>
  <c r="H93" i="2"/>
  <c r="H137" i="2"/>
  <c r="H134" i="2"/>
  <c r="Q134" i="2" s="1"/>
  <c r="H130" i="2"/>
  <c r="Q130" i="2" s="1"/>
  <c r="M138" i="2"/>
  <c r="M124" i="2"/>
  <c r="M115" i="2"/>
  <c r="M60" i="2"/>
  <c r="M76" i="2"/>
  <c r="M91" i="2"/>
  <c r="M93" i="2"/>
  <c r="M79" i="2"/>
  <c r="K79" i="2"/>
  <c r="M84" i="2"/>
  <c r="M63" i="2"/>
  <c r="M61" i="2" s="1"/>
  <c r="M59" i="2"/>
  <c r="M56" i="2"/>
  <c r="M54" i="2"/>
  <c r="M53" i="2"/>
  <c r="M28" i="2"/>
  <c r="M26" i="2" s="1"/>
  <c r="M22" i="2"/>
  <c r="M20" i="2"/>
  <c r="M17" i="2"/>
  <c r="M15" i="2"/>
  <c r="M34" i="2"/>
  <c r="M29" i="2" s="1"/>
  <c r="G136" i="2"/>
  <c r="H136" i="2" s="1"/>
  <c r="Q136" i="2" s="1"/>
  <c r="H104" i="3"/>
  <c r="H43" i="3"/>
  <c r="J43" i="3" s="1"/>
  <c r="I98" i="3"/>
  <c r="G110" i="2"/>
  <c r="H110" i="2" s="1"/>
  <c r="Q110" i="2" s="1"/>
  <c r="K6" i="2"/>
  <c r="K5" i="2" s="1"/>
  <c r="Q70" i="3"/>
  <c r="Q77" i="3"/>
  <c r="S77" i="3" s="1"/>
  <c r="E26" i="1"/>
  <c r="S115" i="3"/>
  <c r="Q121" i="3"/>
  <c r="Q114" i="3" s="1"/>
  <c r="S122" i="3"/>
  <c r="Q105" i="3"/>
  <c r="S105" i="3" s="1"/>
  <c r="Q102" i="3"/>
  <c r="Q73" i="3"/>
  <c r="S73" i="3" s="1"/>
  <c r="Q33" i="3"/>
  <c r="Q32" i="3" s="1"/>
  <c r="R29" i="3"/>
  <c r="R22" i="3"/>
  <c r="S21" i="3"/>
  <c r="K57" i="2"/>
  <c r="K20" i="2"/>
  <c r="K35" i="2"/>
  <c r="K124" i="2"/>
  <c r="K50" i="2"/>
  <c r="K66" i="2"/>
  <c r="K91" i="2"/>
  <c r="K74" i="2"/>
  <c r="K72" i="2" s="1"/>
  <c r="K53" i="2"/>
  <c r="K45" i="2"/>
  <c r="K136" i="2"/>
  <c r="K93" i="2"/>
  <c r="K60" i="2"/>
  <c r="K54" i="2"/>
  <c r="K63" i="2"/>
  <c r="K56" i="2"/>
  <c r="K22" i="2"/>
  <c r="K34" i="2"/>
  <c r="K29" i="2" s="1"/>
  <c r="K82" i="2"/>
  <c r="K77" i="2" s="1"/>
  <c r="K17" i="2"/>
  <c r="K15" i="2"/>
  <c r="K28" i="2"/>
  <c r="K26" i="2" s="1"/>
  <c r="W28" i="3"/>
  <c r="S28" i="3"/>
  <c r="O28" i="3"/>
  <c r="K28" i="3"/>
  <c r="G28" i="3"/>
  <c r="I13" i="3"/>
  <c r="I8" i="3" s="1"/>
  <c r="I22" i="3"/>
  <c r="I14" i="3" s="1"/>
  <c r="E6" i="3"/>
  <c r="M73" i="3"/>
  <c r="M68" i="3" s="1"/>
  <c r="M29" i="3"/>
  <c r="O115" i="3"/>
  <c r="N114" i="3"/>
  <c r="M114" i="3"/>
  <c r="J118" i="3"/>
  <c r="I114" i="3"/>
  <c r="O110" i="3"/>
  <c r="M102" i="3"/>
  <c r="O102" i="3" s="1"/>
  <c r="M33" i="3"/>
  <c r="O33" i="3" s="1"/>
  <c r="I57" i="2"/>
  <c r="I35" i="2"/>
  <c r="I5" i="2"/>
  <c r="I74" i="2"/>
  <c r="I72" i="2" s="1"/>
  <c r="I84" i="2"/>
  <c r="I124" i="2"/>
  <c r="I108" i="2" s="1"/>
  <c r="I150" i="2" s="1"/>
  <c r="I51" i="2"/>
  <c r="I66" i="2"/>
  <c r="I50" i="2"/>
  <c r="I45" i="2"/>
  <c r="I93" i="2"/>
  <c r="I86" i="2" s="1"/>
  <c r="I44" i="2"/>
  <c r="I60" i="2"/>
  <c r="I63" i="2"/>
  <c r="I56" i="2"/>
  <c r="I79" i="2"/>
  <c r="I22" i="2"/>
  <c r="I34" i="2"/>
  <c r="I29" i="2" s="1"/>
  <c r="I20" i="2"/>
  <c r="I82" i="2"/>
  <c r="I17" i="2"/>
  <c r="I15" i="2"/>
  <c r="I28" i="2"/>
  <c r="I26" i="2" s="1"/>
  <c r="C22" i="1"/>
  <c r="E22" i="1" s="1"/>
  <c r="R22" i="1" s="1"/>
  <c r="K113" i="3"/>
  <c r="K112" i="3"/>
  <c r="K110" i="3"/>
  <c r="K109" i="3"/>
  <c r="G21" i="3"/>
  <c r="O22" i="3"/>
  <c r="O21" i="3"/>
  <c r="K27" i="3"/>
  <c r="O27" i="3"/>
  <c r="S27" i="3"/>
  <c r="W27" i="3"/>
  <c r="G27" i="3"/>
  <c r="O62" i="3"/>
  <c r="S62" i="3"/>
  <c r="W62" i="3"/>
  <c r="O55" i="3"/>
  <c r="S55" i="3"/>
  <c r="W55" i="3"/>
  <c r="O56" i="3"/>
  <c r="S56" i="3"/>
  <c r="L55" i="3"/>
  <c r="AC55" i="3" s="1"/>
  <c r="G55" i="3"/>
  <c r="K62" i="3"/>
  <c r="G62" i="3"/>
  <c r="L95" i="3"/>
  <c r="AC95" i="3" s="1"/>
  <c r="G95" i="3"/>
  <c r="E123" i="3"/>
  <c r="E114" i="3" s="1"/>
  <c r="E113" i="3"/>
  <c r="J113" i="3" s="1"/>
  <c r="E109" i="3"/>
  <c r="J109" i="3" s="1"/>
  <c r="E107" i="3"/>
  <c r="J107" i="3" s="1"/>
  <c r="E106" i="3"/>
  <c r="E105" i="3"/>
  <c r="J105" i="3" s="1"/>
  <c r="E103" i="3"/>
  <c r="J103" i="3" s="1"/>
  <c r="E102" i="3"/>
  <c r="J102" i="3" s="1"/>
  <c r="E94" i="3"/>
  <c r="J94" i="3" s="1"/>
  <c r="E93" i="3"/>
  <c r="F91" i="3"/>
  <c r="K91" i="3" s="1"/>
  <c r="E89" i="3"/>
  <c r="E87" i="3"/>
  <c r="J87" i="3" s="1"/>
  <c r="E85" i="3"/>
  <c r="E78" i="3"/>
  <c r="J78" i="3" s="1"/>
  <c r="E75" i="3"/>
  <c r="E74" i="3"/>
  <c r="J74" i="3" s="1"/>
  <c r="E73" i="3"/>
  <c r="E69" i="3"/>
  <c r="E65" i="3"/>
  <c r="E64" i="3"/>
  <c r="J64" i="3" s="1"/>
  <c r="E57" i="3"/>
  <c r="J57" i="3" s="1"/>
  <c r="E56" i="3"/>
  <c r="E53" i="3"/>
  <c r="J53" i="3" s="1"/>
  <c r="E52" i="3"/>
  <c r="J52" i="3" s="1"/>
  <c r="E39" i="3"/>
  <c r="F29" i="3"/>
  <c r="K29" i="3" s="1"/>
  <c r="E29" i="3"/>
  <c r="J29" i="3" s="1"/>
  <c r="F22" i="3"/>
  <c r="E22" i="3"/>
  <c r="J22" i="3" s="1"/>
  <c r="E12" i="3"/>
  <c r="H41" i="2"/>
  <c r="Q41" i="2" s="1"/>
  <c r="H42" i="2"/>
  <c r="Q42" i="2" s="1"/>
  <c r="H43" i="2"/>
  <c r="Q43" i="2" s="1"/>
  <c r="H44" i="2"/>
  <c r="Q44" i="2" s="1"/>
  <c r="H45" i="2"/>
  <c r="Q45" i="2" s="1"/>
  <c r="H46" i="2"/>
  <c r="Q46" i="2" s="1"/>
  <c r="H47" i="2"/>
  <c r="Q47" i="2" s="1"/>
  <c r="H48" i="2"/>
  <c r="L48" i="2" s="1"/>
  <c r="H49" i="2"/>
  <c r="Q49" i="2" s="1"/>
  <c r="H51" i="2"/>
  <c r="N51" i="2" s="1"/>
  <c r="H52" i="2"/>
  <c r="L52" i="2" s="1"/>
  <c r="H54" i="2"/>
  <c r="Q54" i="2" s="1"/>
  <c r="H55" i="2"/>
  <c r="P55" i="2" s="1"/>
  <c r="H58" i="2"/>
  <c r="Q58" i="2" s="1"/>
  <c r="H83" i="2"/>
  <c r="F141" i="2"/>
  <c r="F153" i="2" s="1"/>
  <c r="F104" i="2"/>
  <c r="H104" i="2" s="1"/>
  <c r="Q104" i="2" s="1"/>
  <c r="F79" i="2"/>
  <c r="F77" i="2" s="1"/>
  <c r="T77" i="2" s="1"/>
  <c r="F72" i="2"/>
  <c r="T72" i="2" s="1"/>
  <c r="F68" i="2"/>
  <c r="H68" i="2" s="1"/>
  <c r="Q68" i="2" s="1"/>
  <c r="F66" i="2"/>
  <c r="F60" i="2"/>
  <c r="H60" i="2" s="1"/>
  <c r="Q60" i="2" s="1"/>
  <c r="F59" i="2"/>
  <c r="H59" i="2" s="1"/>
  <c r="F57" i="2"/>
  <c r="H57" i="2" s="1"/>
  <c r="Q57" i="2" s="1"/>
  <c r="F56" i="2"/>
  <c r="H56" i="2" s="1"/>
  <c r="F53" i="2"/>
  <c r="H53" i="2" s="1"/>
  <c r="P53" i="2" s="1"/>
  <c r="F50" i="2"/>
  <c r="H50" i="2" s="1"/>
  <c r="N50" i="2" s="1"/>
  <c r="F20" i="2"/>
  <c r="H20" i="2" s="1"/>
  <c r="Q20" i="2" s="1"/>
  <c r="F17" i="2"/>
  <c r="H17" i="2" s="1"/>
  <c r="F97" i="2"/>
  <c r="G97" i="2"/>
  <c r="H97" i="2"/>
  <c r="I97" i="2"/>
  <c r="K97" i="2"/>
  <c r="M97" i="2"/>
  <c r="AE58" i="3"/>
  <c r="AF95" i="3"/>
  <c r="H142" i="2"/>
  <c r="H90" i="2"/>
  <c r="Q90" i="2" s="1"/>
  <c r="O5" i="2"/>
  <c r="K35" i="3"/>
  <c r="O106" i="2"/>
  <c r="Q12" i="1" s="1"/>
  <c r="G141" i="2"/>
  <c r="G153" i="2" s="1"/>
  <c r="H96" i="2"/>
  <c r="G72" i="2"/>
  <c r="H73" i="2"/>
  <c r="H102" i="2"/>
  <c r="Q102" i="2" s="1"/>
  <c r="H95" i="2"/>
  <c r="H135" i="2"/>
  <c r="Q135" i="2" s="1"/>
  <c r="H92" i="2"/>
  <c r="Q92" i="2" s="1"/>
  <c r="G77" i="2"/>
  <c r="AF16" i="3"/>
  <c r="AF14" i="3" s="1"/>
  <c r="D14" i="22" s="1"/>
  <c r="AF122" i="3"/>
  <c r="M106" i="2"/>
  <c r="M152" i="2" s="1"/>
  <c r="K12" i="1" s="1"/>
  <c r="K106" i="2"/>
  <c r="K152" i="2" s="1"/>
  <c r="I12" i="1" s="1"/>
  <c r="G106" i="2"/>
  <c r="G152" i="2" s="1"/>
  <c r="D12" i="1" s="1"/>
  <c r="AF87" i="3"/>
  <c r="S152" i="2"/>
  <c r="O12" i="1" s="1"/>
  <c r="D7" i="22" s="1"/>
  <c r="K83" i="3"/>
  <c r="H5" i="3"/>
  <c r="AF110" i="3"/>
  <c r="AE5" i="3"/>
  <c r="F5" i="3"/>
  <c r="K7" i="3"/>
  <c r="Z7" i="3" s="1"/>
  <c r="F8" i="3"/>
  <c r="H8" i="3"/>
  <c r="M8" i="3"/>
  <c r="N8" i="3"/>
  <c r="Q8" i="3"/>
  <c r="R8" i="3"/>
  <c r="U8" i="3"/>
  <c r="V8" i="3"/>
  <c r="AE8" i="3"/>
  <c r="H112" i="2"/>
  <c r="Q112" i="2" s="1"/>
  <c r="D29" i="22"/>
  <c r="W110" i="3"/>
  <c r="W23" i="3"/>
  <c r="W24" i="3"/>
  <c r="W122" i="3"/>
  <c r="H111" i="2"/>
  <c r="Q111" i="2" s="1"/>
  <c r="H131" i="2"/>
  <c r="Q131" i="2" s="1"/>
  <c r="H121" i="2"/>
  <c r="H117" i="2"/>
  <c r="Q117" i="2" s="1"/>
  <c r="H118" i="2"/>
  <c r="Q118" i="2" s="1"/>
  <c r="H143" i="2"/>
  <c r="Q143" i="2" s="1"/>
  <c r="H123" i="2"/>
  <c r="Q123" i="2" s="1"/>
  <c r="O122" i="3"/>
  <c r="AF123" i="3"/>
  <c r="AF121" i="3"/>
  <c r="AF120" i="3"/>
  <c r="AF117" i="3"/>
  <c r="AF116" i="3"/>
  <c r="AF113" i="3"/>
  <c r="AF112" i="3"/>
  <c r="AF109" i="3"/>
  <c r="AF107" i="3"/>
  <c r="AF106" i="3"/>
  <c r="C22" i="28" s="1"/>
  <c r="C21" i="28" s="1"/>
  <c r="D21" i="28" s="1"/>
  <c r="AF105" i="3"/>
  <c r="AE104" i="3"/>
  <c r="AD104" i="3"/>
  <c r="AF103" i="3"/>
  <c r="AF102" i="3"/>
  <c r="AF101" i="3"/>
  <c r="AF100" i="3"/>
  <c r="AF99" i="3"/>
  <c r="AF97" i="3"/>
  <c r="AF96" i="3"/>
  <c r="AF92" i="3"/>
  <c r="AF91" i="3"/>
  <c r="AF90" i="3"/>
  <c r="AF89" i="3"/>
  <c r="AF69" i="3"/>
  <c r="AF67" i="3"/>
  <c r="AF66" i="3" s="1"/>
  <c r="D18" i="22" s="1"/>
  <c r="AE66" i="3"/>
  <c r="AD66" i="3"/>
  <c r="AF65" i="3"/>
  <c r="AF59" i="3"/>
  <c r="AF57" i="3"/>
  <c r="AF47" i="3"/>
  <c r="AE46" i="3"/>
  <c r="AF45" i="3"/>
  <c r="AF33" i="3"/>
  <c r="AE32" i="3"/>
  <c r="AF13" i="3"/>
  <c r="AF12" i="3"/>
  <c r="AF11" i="3"/>
  <c r="AF10" i="3"/>
  <c r="AF9" i="3"/>
  <c r="AF6" i="3"/>
  <c r="AF5" i="3" s="1"/>
  <c r="D12" i="22" s="1"/>
  <c r="G70" i="3"/>
  <c r="O70" i="3"/>
  <c r="W70" i="3"/>
  <c r="W123" i="3"/>
  <c r="W119" i="3"/>
  <c r="W118" i="3"/>
  <c r="W117" i="3"/>
  <c r="W116" i="3"/>
  <c r="V114" i="3"/>
  <c r="W113" i="3"/>
  <c r="W112" i="3"/>
  <c r="W109" i="3"/>
  <c r="W107" i="3"/>
  <c r="W106" i="3"/>
  <c r="V104" i="3"/>
  <c r="W103" i="3"/>
  <c r="W101" i="3"/>
  <c r="W100" i="3"/>
  <c r="W99" i="3"/>
  <c r="V98" i="3"/>
  <c r="U98" i="3"/>
  <c r="W97" i="3"/>
  <c r="W96" i="3"/>
  <c r="W94" i="3"/>
  <c r="W93" i="3"/>
  <c r="W92" i="3"/>
  <c r="W91" i="3"/>
  <c r="W90" i="3"/>
  <c r="W89" i="3"/>
  <c r="V88" i="3"/>
  <c r="U88" i="3"/>
  <c r="W87" i="3"/>
  <c r="W86" i="3"/>
  <c r="W85" i="3"/>
  <c r="W84" i="3"/>
  <c r="W83" i="3"/>
  <c r="W82" i="3"/>
  <c r="W81" i="3"/>
  <c r="W80" i="3"/>
  <c r="W79" i="3"/>
  <c r="W77" i="3"/>
  <c r="W76" i="3"/>
  <c r="W75" i="3"/>
  <c r="W74" i="3"/>
  <c r="W73" i="3"/>
  <c r="W72" i="3"/>
  <c r="W71" i="3"/>
  <c r="W69" i="3"/>
  <c r="W67" i="3"/>
  <c r="W66" i="3" s="1"/>
  <c r="V66" i="3"/>
  <c r="U66" i="3"/>
  <c r="W65" i="3"/>
  <c r="W64" i="3"/>
  <c r="W63" i="3"/>
  <c r="W61" i="3"/>
  <c r="W60" i="3"/>
  <c r="W59" i="3"/>
  <c r="U58" i="3"/>
  <c r="W57" i="3"/>
  <c r="W54" i="3"/>
  <c r="W53" i="3"/>
  <c r="W52" i="3"/>
  <c r="W51" i="3"/>
  <c r="W50" i="3"/>
  <c r="W49" i="3"/>
  <c r="W48" i="3"/>
  <c r="W47" i="3"/>
  <c r="V46" i="3"/>
  <c r="W45" i="3"/>
  <c r="W44" i="3"/>
  <c r="W43" i="3"/>
  <c r="W42" i="3"/>
  <c r="W41" i="3"/>
  <c r="W40" i="3"/>
  <c r="W38" i="3"/>
  <c r="W36" i="3"/>
  <c r="W35" i="3"/>
  <c r="W34" i="3"/>
  <c r="W33" i="3"/>
  <c r="V32" i="3"/>
  <c r="W31" i="3"/>
  <c r="W30" i="3"/>
  <c r="W26" i="3"/>
  <c r="W25" i="3"/>
  <c r="W20" i="3"/>
  <c r="W19" i="3"/>
  <c r="W16" i="3"/>
  <c r="W18" i="3"/>
  <c r="W17" i="3"/>
  <c r="W13" i="3"/>
  <c r="W12" i="3"/>
  <c r="W11" i="3"/>
  <c r="W10" i="3"/>
  <c r="W9" i="3"/>
  <c r="W6" i="3"/>
  <c r="W5" i="3" s="1"/>
  <c r="V5" i="3"/>
  <c r="U5" i="3"/>
  <c r="S123" i="3"/>
  <c r="S120" i="3"/>
  <c r="S119" i="3"/>
  <c r="S118" i="3"/>
  <c r="S117" i="3"/>
  <c r="S116" i="3"/>
  <c r="R114" i="3"/>
  <c r="S113" i="3"/>
  <c r="S112" i="3"/>
  <c r="S109" i="3"/>
  <c r="S107" i="3"/>
  <c r="S106" i="3"/>
  <c r="R104" i="3"/>
  <c r="S103" i="3"/>
  <c r="S101" i="3"/>
  <c r="S100" i="3"/>
  <c r="S99" i="3"/>
  <c r="R98" i="3"/>
  <c r="S97" i="3"/>
  <c r="S96" i="3"/>
  <c r="S94" i="3"/>
  <c r="S93" i="3"/>
  <c r="S92" i="3"/>
  <c r="S91" i="3"/>
  <c r="S90" i="3"/>
  <c r="S89" i="3"/>
  <c r="R88" i="3"/>
  <c r="Q88" i="3"/>
  <c r="S87" i="3"/>
  <c r="S86" i="3"/>
  <c r="S85" i="3"/>
  <c r="S84" i="3"/>
  <c r="S83" i="3"/>
  <c r="S82" i="3"/>
  <c r="S81" i="3"/>
  <c r="S80" i="3"/>
  <c r="S79" i="3"/>
  <c r="S78" i="3"/>
  <c r="S76" i="3"/>
  <c r="S75" i="3"/>
  <c r="S74" i="3"/>
  <c r="S72" i="3"/>
  <c r="S71" i="3"/>
  <c r="S69" i="3"/>
  <c r="R68" i="3"/>
  <c r="S67" i="3"/>
  <c r="S66" i="3" s="1"/>
  <c r="R66" i="3"/>
  <c r="Q66" i="3"/>
  <c r="S65" i="3"/>
  <c r="S64" i="3"/>
  <c r="S63" i="3"/>
  <c r="S61" i="3"/>
  <c r="S60" i="3"/>
  <c r="S59" i="3"/>
  <c r="R58" i="3"/>
  <c r="Q58" i="3"/>
  <c r="S57" i="3"/>
  <c r="S54" i="3"/>
  <c r="S53" i="3"/>
  <c r="S52" i="3"/>
  <c r="S51" i="3"/>
  <c r="S50" i="3"/>
  <c r="S49" i="3"/>
  <c r="S48" i="3"/>
  <c r="S47" i="3"/>
  <c r="R46" i="3"/>
  <c r="Q46" i="3"/>
  <c r="S45" i="3"/>
  <c r="S43" i="3"/>
  <c r="S42" i="3"/>
  <c r="S41" i="3"/>
  <c r="S40" i="3"/>
  <c r="S39" i="3"/>
  <c r="S38" i="3"/>
  <c r="S36" i="3"/>
  <c r="S35" i="3"/>
  <c r="S34" i="3"/>
  <c r="R32" i="3"/>
  <c r="S31" i="3"/>
  <c r="S30" i="3"/>
  <c r="S26" i="3"/>
  <c r="S23" i="3"/>
  <c r="S25" i="3"/>
  <c r="S24" i="3"/>
  <c r="S20" i="3"/>
  <c r="S19" i="3"/>
  <c r="S16" i="3"/>
  <c r="S18" i="3"/>
  <c r="S17" i="3"/>
  <c r="S13" i="3"/>
  <c r="S12" i="3"/>
  <c r="S11" i="3"/>
  <c r="S10" i="3"/>
  <c r="S9" i="3"/>
  <c r="S6" i="3"/>
  <c r="S5" i="3" s="1"/>
  <c r="R5" i="3"/>
  <c r="Q5" i="3"/>
  <c r="O123" i="3"/>
  <c r="O121" i="3"/>
  <c r="O120" i="3"/>
  <c r="O119" i="3"/>
  <c r="O118" i="3"/>
  <c r="O117" i="3"/>
  <c r="O116" i="3"/>
  <c r="O113" i="3"/>
  <c r="O112" i="3"/>
  <c r="O109" i="3"/>
  <c r="O107" i="3"/>
  <c r="O106" i="3"/>
  <c r="O105" i="3"/>
  <c r="N104" i="3"/>
  <c r="M104" i="3"/>
  <c r="O103" i="3"/>
  <c r="O101" i="3"/>
  <c r="O100" i="3"/>
  <c r="O99" i="3"/>
  <c r="N98" i="3"/>
  <c r="O97" i="3"/>
  <c r="O96" i="3"/>
  <c r="O94" i="3"/>
  <c r="O93" i="3"/>
  <c r="O92" i="3"/>
  <c r="O91" i="3"/>
  <c r="O90" i="3"/>
  <c r="O89" i="3"/>
  <c r="N88" i="3"/>
  <c r="M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2" i="3"/>
  <c r="O71" i="3"/>
  <c r="O69" i="3"/>
  <c r="N68" i="3"/>
  <c r="O67" i="3"/>
  <c r="O66" i="3" s="1"/>
  <c r="N66" i="3"/>
  <c r="M66" i="3"/>
  <c r="O65" i="3"/>
  <c r="O64" i="3"/>
  <c r="O63" i="3"/>
  <c r="O61" i="3"/>
  <c r="O60" i="3"/>
  <c r="O59" i="3"/>
  <c r="N58" i="3"/>
  <c r="M58" i="3"/>
  <c r="O57" i="3"/>
  <c r="O54" i="3"/>
  <c r="O53" i="3"/>
  <c r="O52" i="3"/>
  <c r="O51" i="3"/>
  <c r="O50" i="3"/>
  <c r="O49" i="3"/>
  <c r="O48" i="3"/>
  <c r="O47" i="3"/>
  <c r="N46" i="3"/>
  <c r="M46" i="3"/>
  <c r="O45" i="3"/>
  <c r="O44" i="3"/>
  <c r="O43" i="3"/>
  <c r="O42" i="3"/>
  <c r="O41" i="3"/>
  <c r="O40" i="3"/>
  <c r="O39" i="3"/>
  <c r="O38" i="3"/>
  <c r="O36" i="3"/>
  <c r="O35" i="3"/>
  <c r="O34" i="3"/>
  <c r="N32" i="3"/>
  <c r="O31" i="3"/>
  <c r="O30" i="3"/>
  <c r="O26" i="3"/>
  <c r="O23" i="3"/>
  <c r="O25" i="3"/>
  <c r="O24" i="3"/>
  <c r="O20" i="3"/>
  <c r="O19" i="3"/>
  <c r="O16" i="3"/>
  <c r="O18" i="3"/>
  <c r="O17" i="3"/>
  <c r="O13" i="3"/>
  <c r="O12" i="3"/>
  <c r="O11" i="3"/>
  <c r="O10" i="3"/>
  <c r="O9" i="3"/>
  <c r="O6" i="3"/>
  <c r="O5" i="3" s="1"/>
  <c r="N5" i="3"/>
  <c r="M5" i="3"/>
  <c r="K16" i="3"/>
  <c r="K19" i="3"/>
  <c r="K24" i="3"/>
  <c r="K25" i="3"/>
  <c r="K26" i="3"/>
  <c r="K93" i="3"/>
  <c r="G123" i="3"/>
  <c r="G122" i="3"/>
  <c r="G121" i="3"/>
  <c r="G120" i="3"/>
  <c r="G119" i="3"/>
  <c r="G118" i="3"/>
  <c r="G117" i="3"/>
  <c r="G116" i="3"/>
  <c r="F114" i="3"/>
  <c r="G113" i="3"/>
  <c r="G112" i="3"/>
  <c r="G105" i="3"/>
  <c r="F104" i="3"/>
  <c r="G101" i="3"/>
  <c r="G100" i="3"/>
  <c r="G99" i="3"/>
  <c r="F98" i="3"/>
  <c r="G97" i="3"/>
  <c r="G94" i="3"/>
  <c r="K92" i="3"/>
  <c r="G90" i="3"/>
  <c r="G87" i="3"/>
  <c r="G86" i="3"/>
  <c r="G84" i="3"/>
  <c r="G83" i="3"/>
  <c r="G82" i="3"/>
  <c r="G81" i="3"/>
  <c r="G80" i="3"/>
  <c r="G79" i="3"/>
  <c r="G77" i="3"/>
  <c r="G76" i="3"/>
  <c r="G74" i="3"/>
  <c r="G72" i="3"/>
  <c r="F68" i="3"/>
  <c r="G67" i="3"/>
  <c r="F66" i="3"/>
  <c r="E66" i="3"/>
  <c r="G64" i="3"/>
  <c r="G63" i="3"/>
  <c r="G61" i="3"/>
  <c r="F58" i="3"/>
  <c r="G59" i="3"/>
  <c r="G54" i="3"/>
  <c r="G52" i="3"/>
  <c r="G51" i="3"/>
  <c r="G50" i="3"/>
  <c r="G49" i="3"/>
  <c r="G48" i="3"/>
  <c r="G47" i="3"/>
  <c r="F46" i="3"/>
  <c r="G45" i="3"/>
  <c r="G44" i="3"/>
  <c r="G43" i="3"/>
  <c r="G42" i="3"/>
  <c r="G41" i="3"/>
  <c r="G40" i="3"/>
  <c r="G38" i="3"/>
  <c r="G36" i="3"/>
  <c r="G34" i="3"/>
  <c r="G33" i="3"/>
  <c r="F32" i="3"/>
  <c r="G31" i="3"/>
  <c r="G30" i="3"/>
  <c r="G26" i="3"/>
  <c r="G23" i="3"/>
  <c r="AG23" i="3" s="1"/>
  <c r="G25" i="3"/>
  <c r="AG25" i="3" s="1"/>
  <c r="G24" i="3"/>
  <c r="G19" i="3"/>
  <c r="G16" i="3"/>
  <c r="G18" i="3"/>
  <c r="G17" i="3"/>
  <c r="G13" i="3"/>
  <c r="G11" i="3"/>
  <c r="G10" i="3"/>
  <c r="G9" i="3"/>
  <c r="H119" i="2"/>
  <c r="Q119" i="2" s="1"/>
  <c r="H89" i="2"/>
  <c r="Q89" i="2" s="1"/>
  <c r="S141" i="2"/>
  <c r="M147" i="2"/>
  <c r="M35" i="2"/>
  <c r="K147" i="2"/>
  <c r="K153" i="2"/>
  <c r="I147" i="2"/>
  <c r="I153" i="2"/>
  <c r="I106" i="2"/>
  <c r="I152" i="2" s="1"/>
  <c r="G12" i="1" s="1"/>
  <c r="F86" i="2"/>
  <c r="T86" i="2" s="1"/>
  <c r="F35" i="2"/>
  <c r="T35" i="2" s="1"/>
  <c r="F29" i="2"/>
  <c r="T29" i="2" s="1"/>
  <c r="F26" i="2"/>
  <c r="F5" i="2"/>
  <c r="T5" i="2" s="1"/>
  <c r="G35" i="3"/>
  <c r="L35" i="3"/>
  <c r="AC35" i="3" s="1"/>
  <c r="F108" i="3"/>
  <c r="L70" i="3"/>
  <c r="G60" i="3"/>
  <c r="G92" i="3"/>
  <c r="E88" i="3"/>
  <c r="J122" i="3"/>
  <c r="K23" i="3"/>
  <c r="G71" i="3"/>
  <c r="G96" i="3"/>
  <c r="G20" i="3"/>
  <c r="F108" i="2"/>
  <c r="F150" i="2" s="1"/>
  <c r="H138" i="2"/>
  <c r="Q138" i="2" s="1"/>
  <c r="H31" i="2"/>
  <c r="H32" i="2"/>
  <c r="N32" i="2" s="1"/>
  <c r="H33" i="2"/>
  <c r="Q33" i="2" s="1"/>
  <c r="H34" i="2"/>
  <c r="Q34" i="2" s="1"/>
  <c r="H30" i="2"/>
  <c r="Q30" i="2" s="1"/>
  <c r="H23" i="2"/>
  <c r="Q23" i="2" s="1"/>
  <c r="H22" i="2"/>
  <c r="H21" i="2"/>
  <c r="Q21" i="2" s="1"/>
  <c r="H19" i="2"/>
  <c r="Q19" i="2" s="1"/>
  <c r="H18" i="2"/>
  <c r="Q18" i="2" s="1"/>
  <c r="H16" i="2"/>
  <c r="Q16" i="2" s="1"/>
  <c r="H15" i="2"/>
  <c r="Q15" i="2" s="1"/>
  <c r="H7" i="2"/>
  <c r="Q7" i="2" s="1"/>
  <c r="H8" i="2"/>
  <c r="J8" i="2" s="1"/>
  <c r="H9" i="2"/>
  <c r="Q9" i="2" s="1"/>
  <c r="H10" i="2"/>
  <c r="Q10" i="2" s="1"/>
  <c r="H12" i="2"/>
  <c r="H6" i="2"/>
  <c r="Q6" i="2" s="1"/>
  <c r="H132" i="2"/>
  <c r="Q132" i="2" s="1"/>
  <c r="H68" i="3"/>
  <c r="G40" i="2"/>
  <c r="I68" i="3"/>
  <c r="T46" i="2"/>
  <c r="T6" i="2"/>
  <c r="T7" i="2"/>
  <c r="T8" i="2"/>
  <c r="T9" i="2"/>
  <c r="T10" i="2"/>
  <c r="T11" i="2"/>
  <c r="T12" i="2"/>
  <c r="T15" i="2"/>
  <c r="T16" i="2"/>
  <c r="T18" i="2"/>
  <c r="T19" i="2"/>
  <c r="T21" i="2"/>
  <c r="T23" i="2"/>
  <c r="T28" i="2"/>
  <c r="T30" i="2"/>
  <c r="T31" i="2"/>
  <c r="T32" i="2"/>
  <c r="T33" i="2"/>
  <c r="T36" i="2"/>
  <c r="T42" i="2"/>
  <c r="T43" i="2"/>
  <c r="T45" i="2"/>
  <c r="T47" i="2"/>
  <c r="T48" i="2"/>
  <c r="T51" i="2"/>
  <c r="T52" i="2"/>
  <c r="T54" i="2"/>
  <c r="T55" i="2"/>
  <c r="T58" i="2"/>
  <c r="T62" i="2"/>
  <c r="T64" i="2"/>
  <c r="T65" i="2"/>
  <c r="T67" i="2"/>
  <c r="T70" i="2"/>
  <c r="T71" i="2"/>
  <c r="T74" i="2"/>
  <c r="T76" i="2"/>
  <c r="T78" i="2"/>
  <c r="T80" i="2"/>
  <c r="T81" i="2"/>
  <c r="T82" i="2"/>
  <c r="T85" i="2"/>
  <c r="T113" i="2"/>
  <c r="T114" i="2"/>
  <c r="T116" i="2"/>
  <c r="T126" i="2"/>
  <c r="T127" i="2"/>
  <c r="K102" i="3"/>
  <c r="K105" i="3"/>
  <c r="K106" i="3"/>
  <c r="H88" i="3"/>
  <c r="E25" i="1"/>
  <c r="K6" i="3"/>
  <c r="AG51" i="3"/>
  <c r="Y66" i="3"/>
  <c r="K90" i="3"/>
  <c r="K72" i="3"/>
  <c r="K79" i="3"/>
  <c r="L79" i="3" s="1"/>
  <c r="AC79" i="3" s="1"/>
  <c r="K42" i="3"/>
  <c r="K18" i="3"/>
  <c r="K30" i="3"/>
  <c r="J120" i="3"/>
  <c r="H113" i="2"/>
  <c r="H114" i="2"/>
  <c r="Q114" i="2" s="1"/>
  <c r="H115" i="2"/>
  <c r="Q115" i="2" s="1"/>
  <c r="H116" i="2"/>
  <c r="Q116" i="2" s="1"/>
  <c r="H127" i="2"/>
  <c r="Q127" i="2" s="1"/>
  <c r="H126" i="2"/>
  <c r="Q126" i="2" s="1"/>
  <c r="H139" i="2"/>
  <c r="Q139" i="2" s="1"/>
  <c r="H140" i="2"/>
  <c r="O35" i="2"/>
  <c r="M5" i="2"/>
  <c r="G61" i="2"/>
  <c r="G35" i="2"/>
  <c r="G29" i="2"/>
  <c r="G26" i="2"/>
  <c r="G14" i="2"/>
  <c r="G5" i="2"/>
  <c r="T69" i="2"/>
  <c r="T63" i="2"/>
  <c r="T41" i="2"/>
  <c r="T22" i="2"/>
  <c r="H125" i="2"/>
  <c r="Q125" i="2" s="1"/>
  <c r="T125" i="2"/>
  <c r="H124" i="2"/>
  <c r="T124" i="2"/>
  <c r="L36" i="3"/>
  <c r="AC36" i="3" s="1"/>
  <c r="K20" i="3"/>
  <c r="J67" i="3"/>
  <c r="J66" i="3" s="1"/>
  <c r="R23" i="1"/>
  <c r="K78" i="3"/>
  <c r="K74" i="3"/>
  <c r="K63" i="3"/>
  <c r="H76" i="2"/>
  <c r="P76" i="2" s="1"/>
  <c r="H75" i="2"/>
  <c r="Q75" i="2" s="1"/>
  <c r="H74" i="2"/>
  <c r="P74" i="2" s="1"/>
  <c r="H94" i="2"/>
  <c r="K96" i="3"/>
  <c r="K59" i="3"/>
  <c r="K58" i="3" s="1"/>
  <c r="K61" i="3"/>
  <c r="K44" i="3"/>
  <c r="K45" i="3"/>
  <c r="K41" i="3"/>
  <c r="K40" i="3"/>
  <c r="K10" i="3"/>
  <c r="K103" i="3"/>
  <c r="G147" i="2"/>
  <c r="H64" i="2"/>
  <c r="Q64" i="2" s="1"/>
  <c r="H65" i="2"/>
  <c r="O147" i="2"/>
  <c r="L52" i="3"/>
  <c r="AC52" i="3" s="1"/>
  <c r="I32" i="3"/>
  <c r="I46" i="3"/>
  <c r="H58" i="3"/>
  <c r="I58" i="3"/>
  <c r="I66" i="3"/>
  <c r="H66" i="3"/>
  <c r="I88" i="3"/>
  <c r="K67" i="3"/>
  <c r="Y9" i="3"/>
  <c r="K9" i="3"/>
  <c r="K11" i="3"/>
  <c r="K17" i="3"/>
  <c r="K31" i="3"/>
  <c r="K43" i="3"/>
  <c r="L44" i="3"/>
  <c r="AC44" i="3" s="1"/>
  <c r="K71" i="3"/>
  <c r="K80" i="3"/>
  <c r="J116" i="3"/>
  <c r="J117" i="3"/>
  <c r="J119" i="3"/>
  <c r="J121" i="3"/>
  <c r="H11" i="2"/>
  <c r="Q11" i="2" s="1"/>
  <c r="H24" i="2"/>
  <c r="Q24" i="2" s="1"/>
  <c r="H25" i="2"/>
  <c r="Q25" i="2" s="1"/>
  <c r="H27" i="2"/>
  <c r="Q27" i="2" s="1"/>
  <c r="H28" i="2"/>
  <c r="P28" i="2" s="1"/>
  <c r="H36" i="2"/>
  <c r="H35" i="2" s="1"/>
  <c r="J35" i="2" s="1"/>
  <c r="H62" i="2"/>
  <c r="L62" i="2" s="1"/>
  <c r="H63" i="2"/>
  <c r="H67" i="2"/>
  <c r="Q67" i="2" s="1"/>
  <c r="H70" i="2"/>
  <c r="Q70" i="2" s="1"/>
  <c r="H71" i="2"/>
  <c r="L71" i="2" s="1"/>
  <c r="H78" i="2"/>
  <c r="H80" i="2"/>
  <c r="J80" i="2" s="1"/>
  <c r="H81" i="2"/>
  <c r="Q81" i="2" s="1"/>
  <c r="H82" i="2"/>
  <c r="Q82" i="2" s="1"/>
  <c r="H84" i="2"/>
  <c r="Q84" i="2" s="1"/>
  <c r="H85" i="2"/>
  <c r="Q85" i="2" s="1"/>
  <c r="H103" i="2"/>
  <c r="P103" i="2" s="1"/>
  <c r="H105" i="2"/>
  <c r="H109" i="2"/>
  <c r="E24" i="1"/>
  <c r="R24" i="1" s="1"/>
  <c r="H69" i="2"/>
  <c r="Q69" i="2" s="1"/>
  <c r="K123" i="3"/>
  <c r="L51" i="3"/>
  <c r="AC51" i="3" s="1"/>
  <c r="K46" i="3"/>
  <c r="K60" i="3"/>
  <c r="I104" i="3"/>
  <c r="K107" i="3"/>
  <c r="T103" i="2"/>
  <c r="L117" i="3"/>
  <c r="AC117" i="3" s="1"/>
  <c r="L12" i="2"/>
  <c r="L55" i="2"/>
  <c r="T17" i="2"/>
  <c r="S150" i="2"/>
  <c r="J55" i="2"/>
  <c r="L46" i="2"/>
  <c r="N30" i="2"/>
  <c r="T60" i="2"/>
  <c r="J7" i="2"/>
  <c r="S44" i="3"/>
  <c r="G75" i="3" l="1"/>
  <c r="J75" i="3"/>
  <c r="G6" i="3"/>
  <c r="J6" i="3"/>
  <c r="J5" i="3" s="1"/>
  <c r="K68" i="3"/>
  <c r="Q104" i="3"/>
  <c r="E8" i="3"/>
  <c r="J12" i="3"/>
  <c r="J8" i="3" s="1"/>
  <c r="G56" i="3"/>
  <c r="J56" i="3"/>
  <c r="G69" i="3"/>
  <c r="J69" i="3"/>
  <c r="L69" i="3" s="1"/>
  <c r="G89" i="3"/>
  <c r="J89" i="3"/>
  <c r="J14" i="3"/>
  <c r="G39" i="3"/>
  <c r="J39" i="3"/>
  <c r="J32" i="3" s="1"/>
  <c r="G73" i="3"/>
  <c r="J73" i="3"/>
  <c r="G85" i="3"/>
  <c r="J85" i="3"/>
  <c r="G93" i="3"/>
  <c r="J93" i="3"/>
  <c r="J88" i="3" s="1"/>
  <c r="G65" i="3"/>
  <c r="J65" i="3"/>
  <c r="AF46" i="3"/>
  <c r="D16" i="22" s="1"/>
  <c r="G106" i="3"/>
  <c r="J106" i="3"/>
  <c r="V14" i="3"/>
  <c r="J22" i="1"/>
  <c r="N41" i="2"/>
  <c r="L81" i="2"/>
  <c r="P45" i="2"/>
  <c r="J115" i="2"/>
  <c r="J109" i="2"/>
  <c r="T109" i="2"/>
  <c r="N45" i="2"/>
  <c r="K86" i="2"/>
  <c r="AC70" i="3"/>
  <c r="V108" i="3"/>
  <c r="V124" i="3" s="1"/>
  <c r="K16" i="1" s="1"/>
  <c r="AG116" i="3"/>
  <c r="L83" i="2"/>
  <c r="R26" i="1"/>
  <c r="R25" i="1"/>
  <c r="AF32" i="3"/>
  <c r="D15" i="22" s="1"/>
  <c r="R108" i="3"/>
  <c r="Q73" i="2"/>
  <c r="P73" i="2"/>
  <c r="K108" i="2"/>
  <c r="C8" i="28"/>
  <c r="AF68" i="3"/>
  <c r="D19" i="22" s="1"/>
  <c r="E5" i="3"/>
  <c r="AG24" i="3"/>
  <c r="AG30" i="3"/>
  <c r="C12" i="28"/>
  <c r="D12" i="28" s="1"/>
  <c r="AF88" i="3"/>
  <c r="D20" i="22" s="1"/>
  <c r="AG21" i="3"/>
  <c r="AE124" i="3"/>
  <c r="AF98" i="3"/>
  <c r="D21" i="22" s="1"/>
  <c r="AF104" i="3"/>
  <c r="D22" i="22" s="1"/>
  <c r="AG27" i="3"/>
  <c r="AG26" i="3"/>
  <c r="AF8" i="3"/>
  <c r="D13" i="22" s="1"/>
  <c r="AG56" i="3"/>
  <c r="AG55" i="3"/>
  <c r="S121" i="3"/>
  <c r="AF58" i="3"/>
  <c r="D17" i="22" s="1"/>
  <c r="N21" i="2"/>
  <c r="N15" i="2"/>
  <c r="P9" i="2"/>
  <c r="J71" i="2"/>
  <c r="J62" i="2"/>
  <c r="J90" i="2"/>
  <c r="L115" i="2"/>
  <c r="P71" i="2"/>
  <c r="P82" i="2"/>
  <c r="N115" i="2"/>
  <c r="P90" i="2"/>
  <c r="N44" i="2"/>
  <c r="N126" i="2"/>
  <c r="L90" i="2"/>
  <c r="J126" i="2"/>
  <c r="J70" i="2"/>
  <c r="N90" i="2"/>
  <c r="J76" i="2"/>
  <c r="P54" i="2"/>
  <c r="P116" i="2"/>
  <c r="P15" i="2"/>
  <c r="P81" i="2"/>
  <c r="P126" i="2"/>
  <c r="L126" i="2"/>
  <c r="P36" i="2"/>
  <c r="L36" i="2"/>
  <c r="J81" i="2"/>
  <c r="N70" i="2"/>
  <c r="L103" i="2"/>
  <c r="N36" i="2"/>
  <c r="J36" i="2"/>
  <c r="N81" i="2"/>
  <c r="P70" i="2"/>
  <c r="P47" i="2"/>
  <c r="J47" i="2"/>
  <c r="J85" i="2"/>
  <c r="J30" i="2"/>
  <c r="P30" i="2"/>
  <c r="L30" i="2"/>
  <c r="J51" i="2"/>
  <c r="N35" i="2"/>
  <c r="L127" i="2"/>
  <c r="L110" i="2"/>
  <c r="J43" i="2"/>
  <c r="J15" i="2"/>
  <c r="L35" i="2"/>
  <c r="N83" i="2"/>
  <c r="T50" i="2"/>
  <c r="T59" i="2"/>
  <c r="N11" i="2"/>
  <c r="K150" i="2"/>
  <c r="I13" i="1" s="1"/>
  <c r="K144" i="2"/>
  <c r="T79" i="2"/>
  <c r="P110" i="2"/>
  <c r="L51" i="2"/>
  <c r="L85" i="2"/>
  <c r="N110" i="2"/>
  <c r="N6" i="2"/>
  <c r="P129" i="2"/>
  <c r="L124" i="2"/>
  <c r="J44" i="2"/>
  <c r="J50" i="2"/>
  <c r="L45" i="2"/>
  <c r="N117" i="2"/>
  <c r="T53" i="2"/>
  <c r="L67" i="2"/>
  <c r="H79" i="2"/>
  <c r="L79" i="2" s="1"/>
  <c r="J46" i="2"/>
  <c r="J58" i="2"/>
  <c r="P85" i="2"/>
  <c r="T68" i="2"/>
  <c r="J6" i="2"/>
  <c r="J48" i="2"/>
  <c r="J54" i="2"/>
  <c r="I14" i="2"/>
  <c r="I37" i="2" s="1"/>
  <c r="J73" i="2"/>
  <c r="L44" i="2"/>
  <c r="H72" i="2"/>
  <c r="L72" i="2" s="1"/>
  <c r="P23" i="2"/>
  <c r="N85" i="2"/>
  <c r="N18" i="2"/>
  <c r="N48" i="2"/>
  <c r="N127" i="2"/>
  <c r="P44" i="2"/>
  <c r="J18" i="2"/>
  <c r="P6" i="2"/>
  <c r="L6" i="2"/>
  <c r="F61" i="2"/>
  <c r="T61" i="2" s="1"/>
  <c r="F144" i="2"/>
  <c r="J127" i="2"/>
  <c r="N118" i="2"/>
  <c r="P131" i="2"/>
  <c r="P127" i="2"/>
  <c r="Q17" i="2"/>
  <c r="P17" i="2"/>
  <c r="L17" i="2"/>
  <c r="J17" i="2"/>
  <c r="H108" i="2"/>
  <c r="Q109" i="2"/>
  <c r="P78" i="2"/>
  <c r="Q78" i="2"/>
  <c r="P63" i="2"/>
  <c r="Q63" i="2"/>
  <c r="N74" i="2"/>
  <c r="Q74" i="2"/>
  <c r="Q140" i="2"/>
  <c r="P113" i="2"/>
  <c r="Q113" i="2"/>
  <c r="L8" i="2"/>
  <c r="Q8" i="2"/>
  <c r="P32" i="2"/>
  <c r="Q32" i="2"/>
  <c r="P142" i="2"/>
  <c r="Q142" i="2"/>
  <c r="Q56" i="2"/>
  <c r="N55" i="2"/>
  <c r="Q55" i="2"/>
  <c r="M14" i="2"/>
  <c r="M37" i="2" s="1"/>
  <c r="M148" i="2" s="1"/>
  <c r="K10" i="1" s="1"/>
  <c r="L105" i="2"/>
  <c r="Q105" i="2"/>
  <c r="N71" i="2"/>
  <c r="Q71" i="2"/>
  <c r="N62" i="2"/>
  <c r="Q62" i="2"/>
  <c r="P124" i="2"/>
  <c r="Q124" i="2"/>
  <c r="N12" i="2"/>
  <c r="Q12" i="2"/>
  <c r="N31" i="2"/>
  <c r="Q31" i="2"/>
  <c r="O37" i="2"/>
  <c r="P48" i="2"/>
  <c r="Q48" i="2"/>
  <c r="Q137" i="2"/>
  <c r="P137" i="2"/>
  <c r="J53" i="2"/>
  <c r="Q53" i="2"/>
  <c r="N103" i="2"/>
  <c r="Q103" i="2"/>
  <c r="Q36" i="2"/>
  <c r="Q35" i="2" s="1"/>
  <c r="L76" i="2"/>
  <c r="Q76" i="2"/>
  <c r="P95" i="2"/>
  <c r="Q95" i="2"/>
  <c r="Q96" i="2"/>
  <c r="P96" i="2"/>
  <c r="Q50" i="2"/>
  <c r="L59" i="2"/>
  <c r="Q59" i="2"/>
  <c r="J83" i="2"/>
  <c r="Q83" i="2"/>
  <c r="N52" i="2"/>
  <c r="Q52" i="2"/>
  <c r="I40" i="2"/>
  <c r="L63" i="2"/>
  <c r="N76" i="2"/>
  <c r="Q93" i="2"/>
  <c r="P93" i="2"/>
  <c r="P80" i="2"/>
  <c r="Q80" i="2"/>
  <c r="N28" i="2"/>
  <c r="Q28" i="2"/>
  <c r="Q26" i="2" s="1"/>
  <c r="N65" i="2"/>
  <c r="Q65" i="2"/>
  <c r="H86" i="2"/>
  <c r="Q94" i="2"/>
  <c r="L22" i="2"/>
  <c r="Q22" i="2"/>
  <c r="P121" i="2"/>
  <c r="Q121" i="2"/>
  <c r="P51" i="2"/>
  <c r="Q51" i="2"/>
  <c r="P135" i="2"/>
  <c r="AB95" i="3"/>
  <c r="AB55" i="3"/>
  <c r="L68" i="2"/>
  <c r="P68" i="2"/>
  <c r="N68" i="2"/>
  <c r="J68" i="2"/>
  <c r="N53" i="2"/>
  <c r="P52" i="2"/>
  <c r="L109" i="2"/>
  <c r="L49" i="2"/>
  <c r="L43" i="2"/>
  <c r="J9" i="2"/>
  <c r="N78" i="2"/>
  <c r="J11" i="2"/>
  <c r="N49" i="2"/>
  <c r="J69" i="2"/>
  <c r="L58" i="2"/>
  <c r="N43" i="2"/>
  <c r="L82" i="2"/>
  <c r="I61" i="2"/>
  <c r="L54" i="2"/>
  <c r="N54" i="2"/>
  <c r="P130" i="2"/>
  <c r="P109" i="2"/>
  <c r="J65" i="2"/>
  <c r="N22" i="2"/>
  <c r="T57" i="2"/>
  <c r="J49" i="2"/>
  <c r="L69" i="2"/>
  <c r="J74" i="2"/>
  <c r="N63" i="2"/>
  <c r="N109" i="2"/>
  <c r="N114" i="2"/>
  <c r="N58" i="2"/>
  <c r="J78" i="2"/>
  <c r="L9" i="2"/>
  <c r="N16" i="2"/>
  <c r="T66" i="2"/>
  <c r="H66" i="2"/>
  <c r="Q66" i="2" s="1"/>
  <c r="P69" i="2"/>
  <c r="P139" i="2"/>
  <c r="G13" i="1"/>
  <c r="P134" i="2"/>
  <c r="J63" i="2"/>
  <c r="L28" i="2"/>
  <c r="P60" i="2"/>
  <c r="L11" i="2"/>
  <c r="L65" i="2"/>
  <c r="H26" i="2"/>
  <c r="J26" i="2" s="1"/>
  <c r="P22" i="2"/>
  <c r="P111" i="2"/>
  <c r="L47" i="2"/>
  <c r="J52" i="2"/>
  <c r="P11" i="2"/>
  <c r="P43" i="2"/>
  <c r="N69" i="2"/>
  <c r="N9" i="2"/>
  <c r="P58" i="2"/>
  <c r="P49" i="2"/>
  <c r="N47" i="2"/>
  <c r="O152" i="2"/>
  <c r="M12" i="1" s="1"/>
  <c r="N129" i="2"/>
  <c r="N123" i="2"/>
  <c r="AF114" i="3"/>
  <c r="D24" i="22" s="1"/>
  <c r="AG63" i="3"/>
  <c r="AG72" i="3"/>
  <c r="AG76" i="3"/>
  <c r="L49" i="3"/>
  <c r="AG41" i="3"/>
  <c r="AG60" i="3"/>
  <c r="L72" i="3"/>
  <c r="AC72" i="3" s="1"/>
  <c r="X51" i="3"/>
  <c r="L30" i="3"/>
  <c r="AC30" i="3" s="1"/>
  <c r="AG54" i="3"/>
  <c r="F14" i="3"/>
  <c r="AG81" i="3"/>
  <c r="AG99" i="3"/>
  <c r="L7" i="3"/>
  <c r="E14" i="3"/>
  <c r="E58" i="3"/>
  <c r="M32" i="3"/>
  <c r="L77" i="3"/>
  <c r="AG48" i="3"/>
  <c r="G12" i="3"/>
  <c r="G8" i="3" s="1"/>
  <c r="L21" i="3"/>
  <c r="AC21" i="3" s="1"/>
  <c r="L116" i="2"/>
  <c r="P41" i="2"/>
  <c r="L41" i="2"/>
  <c r="J41" i="2"/>
  <c r="P117" i="2"/>
  <c r="L117" i="2"/>
  <c r="N111" i="2"/>
  <c r="P51" i="3"/>
  <c r="L47" i="3"/>
  <c r="K13" i="3"/>
  <c r="L122" i="3"/>
  <c r="G78" i="3"/>
  <c r="G109" i="3"/>
  <c r="U46" i="3"/>
  <c r="F88" i="3"/>
  <c r="M98" i="3"/>
  <c r="G29" i="3"/>
  <c r="G91" i="3"/>
  <c r="AG91" i="3" s="1"/>
  <c r="L61" i="3"/>
  <c r="AG11" i="3"/>
  <c r="AG52" i="3"/>
  <c r="N19" i="2"/>
  <c r="L80" i="3"/>
  <c r="U104" i="3"/>
  <c r="W105" i="3"/>
  <c r="W104" i="3" s="1"/>
  <c r="J113" i="2"/>
  <c r="P117" i="3"/>
  <c r="L99" i="3"/>
  <c r="AC99" i="3" s="1"/>
  <c r="L83" i="3"/>
  <c r="G103" i="3"/>
  <c r="G5" i="3"/>
  <c r="AG6" i="3"/>
  <c r="K61" i="2"/>
  <c r="L60" i="2"/>
  <c r="N113" i="2"/>
  <c r="L53" i="2"/>
  <c r="P31" i="2"/>
  <c r="L22" i="1"/>
  <c r="H22" i="1"/>
  <c r="S33" i="3"/>
  <c r="S32" i="3" s="1"/>
  <c r="L32" i="2"/>
  <c r="M86" i="2"/>
  <c r="H141" i="2"/>
  <c r="H153" i="2" s="1"/>
  <c r="N153" i="2" s="1"/>
  <c r="J28" i="2"/>
  <c r="J31" i="2"/>
  <c r="N121" i="2"/>
  <c r="L60" i="3"/>
  <c r="T51" i="3"/>
  <c r="J45" i="2"/>
  <c r="J21" i="2"/>
  <c r="P21" i="2"/>
  <c r="L21" i="2"/>
  <c r="J10" i="2"/>
  <c r="T44" i="3"/>
  <c r="J139" i="2"/>
  <c r="N108" i="3"/>
  <c r="N124" i="3" s="1"/>
  <c r="G16" i="1" s="1"/>
  <c r="P65" i="2"/>
  <c r="M22" i="1"/>
  <c r="N22" i="1" s="1"/>
  <c r="P22" i="1"/>
  <c r="N138" i="2"/>
  <c r="L25" i="3"/>
  <c r="AC25" i="3" s="1"/>
  <c r="W88" i="3"/>
  <c r="P118" i="2"/>
  <c r="N131" i="2"/>
  <c r="L118" i="3"/>
  <c r="AC118" i="3" s="1"/>
  <c r="L15" i="2"/>
  <c r="L96" i="3"/>
  <c r="L42" i="3"/>
  <c r="AG78" i="3"/>
  <c r="AG86" i="3"/>
  <c r="N59" i="2"/>
  <c r="M40" i="2"/>
  <c r="P62" i="2"/>
  <c r="T108" i="2"/>
  <c r="P70" i="3"/>
  <c r="J82" i="2"/>
  <c r="J60" i="2"/>
  <c r="L63" i="3"/>
  <c r="S153" i="2"/>
  <c r="T153" i="2" s="1"/>
  <c r="S144" i="2"/>
  <c r="S145" i="2" s="1"/>
  <c r="AG49" i="3"/>
  <c r="K40" i="2"/>
  <c r="L70" i="2"/>
  <c r="S46" i="3"/>
  <c r="S22" i="3"/>
  <c r="R14" i="3"/>
  <c r="L11" i="3"/>
  <c r="AC11" i="3" s="1"/>
  <c r="AB79" i="3"/>
  <c r="O88" i="3"/>
  <c r="O98" i="3"/>
  <c r="O104" i="3"/>
  <c r="O114" i="3"/>
  <c r="O29" i="3"/>
  <c r="O14" i="3" s="1"/>
  <c r="M14" i="3"/>
  <c r="S114" i="3"/>
  <c r="W68" i="3"/>
  <c r="AG90" i="3"/>
  <c r="AG82" i="3"/>
  <c r="AG96" i="3"/>
  <c r="AG123" i="3"/>
  <c r="AG33" i="3"/>
  <c r="AG71" i="3"/>
  <c r="AG20" i="3"/>
  <c r="T30" i="3"/>
  <c r="X30" i="3"/>
  <c r="P30" i="3"/>
  <c r="L57" i="3"/>
  <c r="AG73" i="3"/>
  <c r="AG105" i="3"/>
  <c r="AG84" i="3"/>
  <c r="AG31" i="3"/>
  <c r="P122" i="3"/>
  <c r="E32" i="3"/>
  <c r="G57" i="3"/>
  <c r="P44" i="3"/>
  <c r="O58" i="3"/>
  <c r="O73" i="3"/>
  <c r="L27" i="3"/>
  <c r="AC27" i="3" s="1"/>
  <c r="U32" i="3"/>
  <c r="L120" i="3"/>
  <c r="O8" i="3"/>
  <c r="X44" i="3"/>
  <c r="Z46" i="3"/>
  <c r="AG9" i="3"/>
  <c r="L29" i="3"/>
  <c r="T117" i="3"/>
  <c r="X70" i="3"/>
  <c r="U68" i="3"/>
  <c r="L33" i="3"/>
  <c r="K88" i="3"/>
  <c r="L90" i="3"/>
  <c r="AC90" i="3" s="1"/>
  <c r="L48" i="3"/>
  <c r="L74" i="3"/>
  <c r="L101" i="3"/>
  <c r="AB77" i="3"/>
  <c r="AG45" i="3"/>
  <c r="L6" i="3"/>
  <c r="K5" i="3"/>
  <c r="AB52" i="3"/>
  <c r="AG10" i="3"/>
  <c r="AG61" i="3"/>
  <c r="AG75" i="3"/>
  <c r="AG83" i="3"/>
  <c r="AG87" i="3"/>
  <c r="P35" i="3"/>
  <c r="L112" i="3"/>
  <c r="AC112" i="3" s="1"/>
  <c r="O32" i="3"/>
  <c r="J123" i="3"/>
  <c r="L123" i="3" s="1"/>
  <c r="AC123" i="3" s="1"/>
  <c r="H114" i="3"/>
  <c r="X72" i="3"/>
  <c r="L10" i="3"/>
  <c r="AC10" i="3" s="1"/>
  <c r="X36" i="3"/>
  <c r="AB36" i="3"/>
  <c r="P72" i="3"/>
  <c r="E108" i="3"/>
  <c r="T36" i="3"/>
  <c r="P36" i="3"/>
  <c r="L34" i="3"/>
  <c r="AC34" i="3" s="1"/>
  <c r="T72" i="3"/>
  <c r="X35" i="3"/>
  <c r="L81" i="3"/>
  <c r="L100" i="3"/>
  <c r="AC100" i="3" s="1"/>
  <c r="L85" i="3"/>
  <c r="AC85" i="3" s="1"/>
  <c r="L40" i="3"/>
  <c r="AC40" i="3" s="1"/>
  <c r="L54" i="3"/>
  <c r="Z58" i="3"/>
  <c r="L59" i="3"/>
  <c r="AG40" i="3"/>
  <c r="AG94" i="3"/>
  <c r="G22" i="3"/>
  <c r="AG22" i="3" s="1"/>
  <c r="G53" i="3"/>
  <c r="E46" i="3"/>
  <c r="AG65" i="3"/>
  <c r="E68" i="3"/>
  <c r="E98" i="3"/>
  <c r="G102" i="3"/>
  <c r="G107" i="3"/>
  <c r="J104" i="3"/>
  <c r="E104" i="3"/>
  <c r="L62" i="3"/>
  <c r="AC62" i="3" s="1"/>
  <c r="L105" i="3"/>
  <c r="P52" i="3"/>
  <c r="P77" i="3"/>
  <c r="L82" i="3"/>
  <c r="X82" i="3" s="1"/>
  <c r="AG77" i="3"/>
  <c r="AG113" i="3"/>
  <c r="AG117" i="3"/>
  <c r="L109" i="3"/>
  <c r="AC109" i="3" s="1"/>
  <c r="H32" i="3"/>
  <c r="U114" i="3"/>
  <c r="W115" i="3"/>
  <c r="W114" i="3" s="1"/>
  <c r="Z98" i="3"/>
  <c r="T122" i="3"/>
  <c r="G32" i="3"/>
  <c r="S88" i="3"/>
  <c r="L86" i="3"/>
  <c r="AC86" i="3" s="1"/>
  <c r="G68" i="3"/>
  <c r="L26" i="3"/>
  <c r="AC26" i="3" s="1"/>
  <c r="W32" i="3"/>
  <c r="L28" i="3"/>
  <c r="T79" i="3"/>
  <c r="P79" i="3"/>
  <c r="X79" i="3"/>
  <c r="L87" i="3"/>
  <c r="AC87" i="3" s="1"/>
  <c r="K32" i="3"/>
  <c r="L76" i="3"/>
  <c r="L71" i="3"/>
  <c r="AC71" i="3" s="1"/>
  <c r="AG38" i="3"/>
  <c r="G58" i="3"/>
  <c r="G66" i="3"/>
  <c r="T61" i="3"/>
  <c r="L31" i="3"/>
  <c r="AC31" i="3" s="1"/>
  <c r="K66" i="3"/>
  <c r="L94" i="3"/>
  <c r="AC94" i="3" s="1"/>
  <c r="L64" i="3"/>
  <c r="AC64" i="3" s="1"/>
  <c r="L67" i="3"/>
  <c r="AG34" i="3"/>
  <c r="AG44" i="3"/>
  <c r="AG112" i="3"/>
  <c r="AG121" i="3"/>
  <c r="L91" i="3"/>
  <c r="L119" i="3"/>
  <c r="AC119" i="3" s="1"/>
  <c r="L41" i="3"/>
  <c r="AC41" i="3" s="1"/>
  <c r="K104" i="3"/>
  <c r="L106" i="3"/>
  <c r="AG42" i="3"/>
  <c r="AG59" i="3"/>
  <c r="AB117" i="3"/>
  <c r="AG35" i="3"/>
  <c r="AG100" i="3"/>
  <c r="S70" i="3"/>
  <c r="Q68" i="3"/>
  <c r="W22" i="3"/>
  <c r="W14" i="3" s="1"/>
  <c r="G114" i="3"/>
  <c r="S58" i="3"/>
  <c r="W46" i="3"/>
  <c r="X117" i="3"/>
  <c r="AG18" i="3"/>
  <c r="AG36" i="3"/>
  <c r="AG80" i="3"/>
  <c r="P55" i="3"/>
  <c r="AB115" i="3"/>
  <c r="L20" i="3"/>
  <c r="AC20" i="3" s="1"/>
  <c r="K98" i="3"/>
  <c r="AA9" i="3"/>
  <c r="AA8" i="3" s="1"/>
  <c r="O46" i="3"/>
  <c r="T35" i="3"/>
  <c r="T52" i="3"/>
  <c r="W8" i="3"/>
  <c r="X87" i="3"/>
  <c r="T55" i="3"/>
  <c r="K22" i="3"/>
  <c r="K14" i="3" s="1"/>
  <c r="S102" i="3"/>
  <c r="S98" i="3" s="1"/>
  <c r="Q98" i="3"/>
  <c r="H46" i="3"/>
  <c r="X52" i="3"/>
  <c r="L38" i="3"/>
  <c r="AC38" i="3" s="1"/>
  <c r="L121" i="3"/>
  <c r="AC121" i="3" s="1"/>
  <c r="L97" i="3"/>
  <c r="AC97" i="3" s="1"/>
  <c r="L45" i="3"/>
  <c r="L84" i="3"/>
  <c r="AC84" i="3" s="1"/>
  <c r="L89" i="3"/>
  <c r="L116" i="3"/>
  <c r="K114" i="3"/>
  <c r="L78" i="3"/>
  <c r="AC78" i="3" s="1"/>
  <c r="L92" i="3"/>
  <c r="AC92" i="3" s="1"/>
  <c r="S8" i="3"/>
  <c r="S104" i="3"/>
  <c r="W58" i="3"/>
  <c r="W98" i="3"/>
  <c r="X55" i="3"/>
  <c r="S29" i="3"/>
  <c r="AG13" i="3"/>
  <c r="AG19" i="3"/>
  <c r="AG69" i="3"/>
  <c r="AG85" i="3"/>
  <c r="AG89" i="3"/>
  <c r="AG122" i="3"/>
  <c r="L110" i="3"/>
  <c r="AC110" i="3" s="1"/>
  <c r="AA7" i="3"/>
  <c r="AG39" i="3"/>
  <c r="AG43" i="3"/>
  <c r="AG50" i="3"/>
  <c r="AG64" i="3"/>
  <c r="AG70" i="3"/>
  <c r="AG74" i="3"/>
  <c r="AG118" i="3"/>
  <c r="P21" i="3"/>
  <c r="AG47" i="3"/>
  <c r="AG101" i="3"/>
  <c r="AG119" i="3"/>
  <c r="L19" i="3"/>
  <c r="AC19" i="3" s="1"/>
  <c r="Z8" i="3"/>
  <c r="T21" i="3"/>
  <c r="L18" i="3"/>
  <c r="AC18" i="3" s="1"/>
  <c r="AB30" i="3"/>
  <c r="L17" i="3"/>
  <c r="AC17" i="3" s="1"/>
  <c r="L9" i="3"/>
  <c r="AC9" i="3" s="1"/>
  <c r="L23" i="3"/>
  <c r="AC23" i="3" s="1"/>
  <c r="L24" i="3"/>
  <c r="AC24" i="3" s="1"/>
  <c r="L16" i="3"/>
  <c r="AC16" i="3" s="1"/>
  <c r="AG17" i="3"/>
  <c r="T26" i="2"/>
  <c r="AG106" i="3"/>
  <c r="P104" i="2"/>
  <c r="L104" i="2"/>
  <c r="J104" i="2"/>
  <c r="N104" i="2"/>
  <c r="P20" i="2"/>
  <c r="J20" i="2"/>
  <c r="N20" i="2"/>
  <c r="L20" i="2"/>
  <c r="P56" i="2"/>
  <c r="N56" i="2"/>
  <c r="L56" i="2"/>
  <c r="J56" i="2"/>
  <c r="H14" i="2"/>
  <c r="N60" i="2"/>
  <c r="P79" i="2"/>
  <c r="N67" i="2"/>
  <c r="H5" i="2"/>
  <c r="N5" i="2" s="1"/>
  <c r="I144" i="2"/>
  <c r="I77" i="2"/>
  <c r="P18" i="2"/>
  <c r="T56" i="2"/>
  <c r="N33" i="2"/>
  <c r="J19" i="2"/>
  <c r="P42" i="2"/>
  <c r="L42" i="2"/>
  <c r="N125" i="2"/>
  <c r="N105" i="2"/>
  <c r="N80" i="2"/>
  <c r="J125" i="2"/>
  <c r="P46" i="2"/>
  <c r="J103" i="2"/>
  <c r="T104" i="2"/>
  <c r="P120" i="2"/>
  <c r="K14" i="2"/>
  <c r="O141" i="2"/>
  <c r="N57" i="2"/>
  <c r="T20" i="2"/>
  <c r="F40" i="2"/>
  <c r="T40" i="2" s="1"/>
  <c r="P67" i="2"/>
  <c r="L7" i="2"/>
  <c r="H29" i="2"/>
  <c r="L29" i="2" s="1"/>
  <c r="N17" i="2"/>
  <c r="L23" i="2"/>
  <c r="L33" i="2"/>
  <c r="N10" i="2"/>
  <c r="P19" i="2"/>
  <c r="J42" i="2"/>
  <c r="N42" i="2"/>
  <c r="N23" i="2"/>
  <c r="F14" i="2"/>
  <c r="F37" i="2" s="1"/>
  <c r="F148" i="2" s="1"/>
  <c r="F106" i="2"/>
  <c r="J116" i="2"/>
  <c r="G37" i="2"/>
  <c r="G148" i="2" s="1"/>
  <c r="D10" i="1" s="1"/>
  <c r="J22" i="2"/>
  <c r="P112" i="2"/>
  <c r="L74" i="2"/>
  <c r="G108" i="2"/>
  <c r="T150" i="2"/>
  <c r="H77" i="2"/>
  <c r="L77" i="2" s="1"/>
  <c r="J67" i="2"/>
  <c r="N7" i="2"/>
  <c r="N82" i="2"/>
  <c r="P33" i="2"/>
  <c r="P10" i="2"/>
  <c r="J23" i="2"/>
  <c r="L19" i="2"/>
  <c r="P125" i="2"/>
  <c r="L125" i="2"/>
  <c r="J33" i="2"/>
  <c r="N46" i="2"/>
  <c r="L139" i="2"/>
  <c r="N139" i="2"/>
  <c r="P132" i="2"/>
  <c r="P7" i="2"/>
  <c r="J102" i="2"/>
  <c r="M108" i="2"/>
  <c r="J57" i="2"/>
  <c r="H40" i="2"/>
  <c r="P57" i="2"/>
  <c r="L57" i="2"/>
  <c r="C13" i="1"/>
  <c r="L114" i="2"/>
  <c r="L16" i="2"/>
  <c r="J16" i="2"/>
  <c r="P16" i="2"/>
  <c r="J124" i="2"/>
  <c r="L78" i="2"/>
  <c r="P8" i="2"/>
  <c r="L50" i="2"/>
  <c r="P50" i="2"/>
  <c r="L64" i="2"/>
  <c r="J64" i="2"/>
  <c r="N64" i="2"/>
  <c r="P64" i="2"/>
  <c r="L113" i="2"/>
  <c r="P12" i="2"/>
  <c r="J12" i="2"/>
  <c r="L18" i="2"/>
  <c r="L31" i="2"/>
  <c r="J59" i="2"/>
  <c r="P59" i="2"/>
  <c r="P114" i="2"/>
  <c r="J114" i="2"/>
  <c r="N8" i="2"/>
  <c r="N124" i="2"/>
  <c r="P105" i="2"/>
  <c r="L80" i="2"/>
  <c r="P94" i="2"/>
  <c r="G99" i="2"/>
  <c r="M77" i="2"/>
  <c r="H106" i="2"/>
  <c r="M72" i="2"/>
  <c r="P138" i="2"/>
  <c r="N116" i="2"/>
  <c r="L10" i="2"/>
  <c r="L138" i="2"/>
  <c r="P35" i="2"/>
  <c r="P123" i="2"/>
  <c r="AG93" i="3"/>
  <c r="S149" i="2"/>
  <c r="O11" i="1" s="1"/>
  <c r="X116" i="3" l="1"/>
  <c r="AC116" i="3"/>
  <c r="G88" i="3"/>
  <c r="P120" i="3"/>
  <c r="AC120" i="3"/>
  <c r="AC7" i="3"/>
  <c r="L12" i="3"/>
  <c r="AC12" i="3" s="1"/>
  <c r="AG12" i="3"/>
  <c r="X122" i="3"/>
  <c r="AC122" i="3"/>
  <c r="AB122" i="3"/>
  <c r="R124" i="3"/>
  <c r="I16" i="1" s="1"/>
  <c r="L86" i="2"/>
  <c r="O16" i="1"/>
  <c r="AC106" i="3"/>
  <c r="P105" i="3"/>
  <c r="AC105" i="3"/>
  <c r="T101" i="3"/>
  <c r="AC101" i="3"/>
  <c r="P100" i="3"/>
  <c r="AB96" i="3"/>
  <c r="AC96" i="3"/>
  <c r="AC89" i="3"/>
  <c r="X91" i="3"/>
  <c r="AC91" i="3"/>
  <c r="T82" i="3"/>
  <c r="AC82" i="3"/>
  <c r="T80" i="3"/>
  <c r="AC80" i="3"/>
  <c r="P74" i="3"/>
  <c r="AC74" i="3"/>
  <c r="AC69" i="3"/>
  <c r="T81" i="3"/>
  <c r="AC81" i="3"/>
  <c r="AC76" i="3"/>
  <c r="T83" i="3"/>
  <c r="AC83" i="3"/>
  <c r="AC77" i="3"/>
  <c r="X63" i="3"/>
  <c r="AC63" i="3"/>
  <c r="P61" i="3"/>
  <c r="AC61" i="3"/>
  <c r="X59" i="3"/>
  <c r="AC59" i="3"/>
  <c r="P60" i="3"/>
  <c r="AC60" i="3"/>
  <c r="X48" i="3"/>
  <c r="AC48" i="3"/>
  <c r="T57" i="3"/>
  <c r="AC57" i="3"/>
  <c r="X54" i="3"/>
  <c r="AC54" i="3"/>
  <c r="X47" i="3"/>
  <c r="AC47" i="3"/>
  <c r="T49" i="3"/>
  <c r="AC49" i="3"/>
  <c r="P42" i="3"/>
  <c r="AC42" i="3"/>
  <c r="T42" i="3"/>
  <c r="X45" i="3"/>
  <c r="AC45" i="3"/>
  <c r="AB33" i="3"/>
  <c r="AC33" i="3"/>
  <c r="X42" i="3"/>
  <c r="T28" i="3"/>
  <c r="AC28" i="3"/>
  <c r="X29" i="3"/>
  <c r="AC29" i="3"/>
  <c r="U108" i="3"/>
  <c r="W108" i="3"/>
  <c r="AA108" i="3"/>
  <c r="I108" i="3"/>
  <c r="I124" i="3" s="1"/>
  <c r="D16" i="1" s="1"/>
  <c r="Q108" i="2"/>
  <c r="X77" i="3"/>
  <c r="T77" i="3"/>
  <c r="F124" i="3"/>
  <c r="C16" i="1" s="1"/>
  <c r="X80" i="3"/>
  <c r="X26" i="3"/>
  <c r="P85" i="3"/>
  <c r="P10" i="3"/>
  <c r="X27" i="3"/>
  <c r="L102" i="3"/>
  <c r="AG29" i="3"/>
  <c r="P19" i="3"/>
  <c r="AC114" i="3"/>
  <c r="X61" i="3"/>
  <c r="T6" i="3"/>
  <c r="C4" i="28"/>
  <c r="D4" i="28" s="1"/>
  <c r="P80" i="3"/>
  <c r="AB25" i="3"/>
  <c r="X18" i="3"/>
  <c r="AB9" i="3"/>
  <c r="P28" i="3"/>
  <c r="AB20" i="3"/>
  <c r="T112" i="3"/>
  <c r="AB11" i="3"/>
  <c r="C7" i="28"/>
  <c r="D7" i="28" s="1"/>
  <c r="J14" i="2"/>
  <c r="P72" i="2"/>
  <c r="J72" i="2"/>
  <c r="K99" i="2"/>
  <c r="K149" i="2" s="1"/>
  <c r="J79" i="2"/>
  <c r="T144" i="2"/>
  <c r="N79" i="2"/>
  <c r="Q72" i="2"/>
  <c r="H61" i="2"/>
  <c r="P26" i="2"/>
  <c r="P86" i="2"/>
  <c r="Q79" i="2"/>
  <c r="Q77" i="2" s="1"/>
  <c r="O108" i="2"/>
  <c r="F99" i="2"/>
  <c r="F149" i="2" s="1"/>
  <c r="C11" i="1" s="1"/>
  <c r="P11" i="1" s="1"/>
  <c r="J86" i="2"/>
  <c r="N86" i="2"/>
  <c r="N77" i="2"/>
  <c r="AB72" i="3"/>
  <c r="AB63" i="3"/>
  <c r="AB51" i="3"/>
  <c r="AB57" i="3"/>
  <c r="N26" i="2"/>
  <c r="L26" i="2"/>
  <c r="N66" i="2"/>
  <c r="P66" i="2"/>
  <c r="H144" i="2"/>
  <c r="J66" i="2"/>
  <c r="Q5" i="2"/>
  <c r="L66" i="2"/>
  <c r="Q86" i="2"/>
  <c r="X28" i="3"/>
  <c r="G108" i="3"/>
  <c r="P49" i="3"/>
  <c r="AB49" i="3"/>
  <c r="AB99" i="3"/>
  <c r="AB7" i="3"/>
  <c r="P57" i="3"/>
  <c r="H108" i="3"/>
  <c r="H124" i="3" s="1"/>
  <c r="X49" i="3"/>
  <c r="T29" i="3"/>
  <c r="L65" i="3"/>
  <c r="AC65" i="3" s="1"/>
  <c r="G98" i="3"/>
  <c r="T47" i="3"/>
  <c r="Z88" i="3"/>
  <c r="P29" i="3"/>
  <c r="P47" i="3"/>
  <c r="J58" i="3"/>
  <c r="X101" i="3"/>
  <c r="X57" i="3"/>
  <c r="AB29" i="3"/>
  <c r="T26" i="3"/>
  <c r="AG109" i="3"/>
  <c r="AG102" i="3"/>
  <c r="J114" i="3"/>
  <c r="T27" i="3"/>
  <c r="AB109" i="3"/>
  <c r="AB40" i="3"/>
  <c r="P63" i="3"/>
  <c r="T63" i="3"/>
  <c r="X25" i="3"/>
  <c r="AG57" i="3"/>
  <c r="K8" i="3"/>
  <c r="P83" i="3"/>
  <c r="AB90" i="3"/>
  <c r="AG5" i="3"/>
  <c r="P27" i="3"/>
  <c r="AB27" i="3"/>
  <c r="P82" i="3"/>
  <c r="T25" i="3"/>
  <c r="L13" i="3"/>
  <c r="AC13" i="3" s="1"/>
  <c r="T105" i="3"/>
  <c r="X83" i="3"/>
  <c r="P11" i="3"/>
  <c r="K108" i="3"/>
  <c r="Z108" i="3"/>
  <c r="X11" i="3"/>
  <c r="J98" i="3"/>
  <c r="T11" i="3"/>
  <c r="AB110" i="3"/>
  <c r="L103" i="3"/>
  <c r="AB60" i="3"/>
  <c r="E124" i="3"/>
  <c r="C15" i="1" s="1"/>
  <c r="O108" i="3"/>
  <c r="Q108" i="3"/>
  <c r="Q124" i="3" s="1"/>
  <c r="AB83" i="3"/>
  <c r="T96" i="3"/>
  <c r="X96" i="3"/>
  <c r="AD108" i="3"/>
  <c r="Y98" i="3"/>
  <c r="AB44" i="3"/>
  <c r="G46" i="3"/>
  <c r="T118" i="3"/>
  <c r="P118" i="3"/>
  <c r="AB118" i="3"/>
  <c r="X118" i="3"/>
  <c r="O13" i="1"/>
  <c r="P13" i="1" s="1"/>
  <c r="N141" i="2"/>
  <c r="P25" i="3"/>
  <c r="FO52" i="3"/>
  <c r="AG58" i="3"/>
  <c r="X120" i="3"/>
  <c r="M108" i="3"/>
  <c r="M124" i="3" s="1"/>
  <c r="G15" i="1" s="1"/>
  <c r="G17" i="1" s="1"/>
  <c r="T60" i="3"/>
  <c r="Z104" i="3"/>
  <c r="Y14" i="3"/>
  <c r="Q106" i="2"/>
  <c r="Q152" i="2" s="1"/>
  <c r="AB120" i="3"/>
  <c r="AB61" i="3"/>
  <c r="P96" i="3"/>
  <c r="X99" i="3"/>
  <c r="T99" i="3"/>
  <c r="AB78" i="3"/>
  <c r="P54" i="3"/>
  <c r="AB16" i="3"/>
  <c r="Z14" i="3"/>
  <c r="X60" i="3"/>
  <c r="T54" i="3"/>
  <c r="X85" i="3"/>
  <c r="AB62" i="3"/>
  <c r="J68" i="3"/>
  <c r="Y114" i="3"/>
  <c r="AB80" i="3"/>
  <c r="T85" i="3"/>
  <c r="T120" i="3"/>
  <c r="G14" i="3"/>
  <c r="Z68" i="3"/>
  <c r="AG103" i="3"/>
  <c r="AG68" i="3"/>
  <c r="O148" i="2"/>
  <c r="M10" i="1" s="1"/>
  <c r="Q10" i="1"/>
  <c r="AG32" i="3"/>
  <c r="AG88" i="3"/>
  <c r="L73" i="3"/>
  <c r="AC73" i="3" s="1"/>
  <c r="AB106" i="3"/>
  <c r="L93" i="3"/>
  <c r="Z114" i="3"/>
  <c r="X10" i="3"/>
  <c r="Y5" i="3"/>
  <c r="Y8" i="3"/>
  <c r="U124" i="3"/>
  <c r="K15" i="1" s="1"/>
  <c r="K17" i="1" s="1"/>
  <c r="X100" i="3"/>
  <c r="AG53" i="3"/>
  <c r="T33" i="3"/>
  <c r="P33" i="3"/>
  <c r="T10" i="3"/>
  <c r="T100" i="3"/>
  <c r="AB54" i="3"/>
  <c r="O68" i="3"/>
  <c r="AB70" i="3"/>
  <c r="L39" i="3"/>
  <c r="AC39" i="3" s="1"/>
  <c r="X33" i="3"/>
  <c r="AB101" i="3"/>
  <c r="AB119" i="3"/>
  <c r="T109" i="3"/>
  <c r="X109" i="3"/>
  <c r="P109" i="3"/>
  <c r="X62" i="3"/>
  <c r="T62" i="3"/>
  <c r="P62" i="3"/>
  <c r="T59" i="3"/>
  <c r="P59" i="3"/>
  <c r="AB28" i="3"/>
  <c r="P112" i="3"/>
  <c r="T48" i="3"/>
  <c r="P48" i="3"/>
  <c r="T90" i="3"/>
  <c r="X90" i="3"/>
  <c r="P90" i="3"/>
  <c r="X6" i="3"/>
  <c r="P6" i="3"/>
  <c r="AB82" i="3"/>
  <c r="AB41" i="3"/>
  <c r="AB85" i="3"/>
  <c r="L5" i="3"/>
  <c r="X40" i="3"/>
  <c r="P40" i="3"/>
  <c r="T40" i="3"/>
  <c r="AB100" i="3"/>
  <c r="AB112" i="3"/>
  <c r="AB48" i="3"/>
  <c r="G104" i="3"/>
  <c r="AG107" i="3"/>
  <c r="L75" i="3"/>
  <c r="AC75" i="3" s="1"/>
  <c r="L53" i="3"/>
  <c r="AC53" i="3" s="1"/>
  <c r="T34" i="3"/>
  <c r="P34" i="3"/>
  <c r="AG114" i="3"/>
  <c r="X34" i="3"/>
  <c r="AG8" i="3"/>
  <c r="X19" i="3"/>
  <c r="L22" i="3"/>
  <c r="AC22" i="3" s="1"/>
  <c r="AB92" i="3"/>
  <c r="X105" i="3"/>
  <c r="P26" i="3"/>
  <c r="X86" i="3"/>
  <c r="AB86" i="3"/>
  <c r="P86" i="3"/>
  <c r="T86" i="3"/>
  <c r="L43" i="3"/>
  <c r="AC43" i="3" s="1"/>
  <c r="L107" i="3"/>
  <c r="AC107" i="3" s="1"/>
  <c r="AB26" i="3"/>
  <c r="P81" i="3"/>
  <c r="X81" i="3"/>
  <c r="L113" i="3"/>
  <c r="AC113" i="3" s="1"/>
  <c r="AB10" i="3"/>
  <c r="X123" i="3"/>
  <c r="T123" i="3"/>
  <c r="P123" i="3"/>
  <c r="X112" i="3"/>
  <c r="AB81" i="3"/>
  <c r="X74" i="3"/>
  <c r="T74" i="3"/>
  <c r="T38" i="3"/>
  <c r="X38" i="3"/>
  <c r="AB38" i="3"/>
  <c r="P20" i="3"/>
  <c r="T70" i="3"/>
  <c r="S68" i="3"/>
  <c r="T64" i="3"/>
  <c r="T31" i="3"/>
  <c r="X31" i="3"/>
  <c r="P31" i="3"/>
  <c r="P76" i="3"/>
  <c r="X76" i="3"/>
  <c r="L58" i="3"/>
  <c r="T58" i="3" s="1"/>
  <c r="T20" i="3"/>
  <c r="AB19" i="3"/>
  <c r="AB18" i="3"/>
  <c r="X92" i="3"/>
  <c r="X78" i="3"/>
  <c r="P78" i="3"/>
  <c r="T78" i="3"/>
  <c r="P89" i="3"/>
  <c r="X89" i="3"/>
  <c r="T76" i="3"/>
  <c r="X106" i="3"/>
  <c r="P106" i="3"/>
  <c r="T41" i="3"/>
  <c r="P41" i="3"/>
  <c r="X41" i="3"/>
  <c r="X119" i="3"/>
  <c r="T119" i="3"/>
  <c r="P119" i="3"/>
  <c r="T91" i="3"/>
  <c r="P91" i="3"/>
  <c r="X67" i="3"/>
  <c r="L66" i="3"/>
  <c r="X94" i="3"/>
  <c r="P94" i="3"/>
  <c r="T94" i="3"/>
  <c r="T12" i="3"/>
  <c r="X12" i="3"/>
  <c r="P12" i="3"/>
  <c r="P69" i="3"/>
  <c r="X69" i="3"/>
  <c r="T69" i="3"/>
  <c r="T106" i="3"/>
  <c r="AB76" i="3"/>
  <c r="AB87" i="3"/>
  <c r="L56" i="3"/>
  <c r="AC56" i="3" s="1"/>
  <c r="P116" i="3"/>
  <c r="T116" i="3"/>
  <c r="L114" i="3"/>
  <c r="P87" i="3"/>
  <c r="T87" i="3"/>
  <c r="AB31" i="3"/>
  <c r="X64" i="3"/>
  <c r="AB123" i="3"/>
  <c r="T84" i="3"/>
  <c r="P84" i="3"/>
  <c r="X84" i="3"/>
  <c r="AB116" i="3"/>
  <c r="AB105" i="3"/>
  <c r="AB34" i="3"/>
  <c r="T89" i="3"/>
  <c r="AB91" i="3"/>
  <c r="AB94" i="3"/>
  <c r="P71" i="3"/>
  <c r="T71" i="3"/>
  <c r="X71" i="3"/>
  <c r="Z32" i="3"/>
  <c r="Y58" i="3"/>
  <c r="AB84" i="3"/>
  <c r="T45" i="3"/>
  <c r="P45" i="3"/>
  <c r="AB45" i="3"/>
  <c r="AB59" i="3"/>
  <c r="X20" i="3"/>
  <c r="S14" i="3"/>
  <c r="X110" i="3"/>
  <c r="AB47" i="3"/>
  <c r="X65" i="3"/>
  <c r="T65" i="3"/>
  <c r="P65" i="3"/>
  <c r="AB65" i="3"/>
  <c r="P121" i="3"/>
  <c r="X121" i="3"/>
  <c r="AB121" i="3"/>
  <c r="T121" i="3"/>
  <c r="L50" i="3"/>
  <c r="AC50" i="3" s="1"/>
  <c r="J46" i="3"/>
  <c r="Z5" i="3"/>
  <c r="AA6" i="3"/>
  <c r="AA5" i="3" s="1"/>
  <c r="P38" i="3"/>
  <c r="AB64" i="3"/>
  <c r="Z66" i="3"/>
  <c r="AA67" i="3"/>
  <c r="AB71" i="3"/>
  <c r="AB17" i="3"/>
  <c r="W124" i="3"/>
  <c r="P24" i="3"/>
  <c r="X24" i="3"/>
  <c r="T24" i="3"/>
  <c r="AB23" i="3"/>
  <c r="X23" i="3"/>
  <c r="T23" i="3"/>
  <c r="T9" i="3"/>
  <c r="X9" i="3"/>
  <c r="P9" i="3"/>
  <c r="T18" i="3"/>
  <c r="P18" i="3"/>
  <c r="X16" i="3"/>
  <c r="T16" i="3"/>
  <c r="T17" i="3"/>
  <c r="X17" i="3"/>
  <c r="P17" i="3"/>
  <c r="AB12" i="3"/>
  <c r="T19" i="3"/>
  <c r="P61" i="2"/>
  <c r="J61" i="2"/>
  <c r="N61" i="2"/>
  <c r="P77" i="2"/>
  <c r="J5" i="2"/>
  <c r="P5" i="2"/>
  <c r="L5" i="2"/>
  <c r="H37" i="2"/>
  <c r="J37" i="2" s="1"/>
  <c r="P14" i="2"/>
  <c r="N14" i="2"/>
  <c r="T37" i="2"/>
  <c r="Q141" i="2"/>
  <c r="Q153" i="2" s="1"/>
  <c r="P29" i="2"/>
  <c r="J29" i="2"/>
  <c r="K37" i="2"/>
  <c r="L14" i="2"/>
  <c r="J77" i="2"/>
  <c r="O153" i="2"/>
  <c r="P153" i="2" s="1"/>
  <c r="P141" i="2"/>
  <c r="L61" i="2"/>
  <c r="T14" i="2"/>
  <c r="Q29" i="2"/>
  <c r="M144" i="2"/>
  <c r="M150" i="2"/>
  <c r="K13" i="1" s="1"/>
  <c r="G150" i="2"/>
  <c r="D13" i="1" s="1"/>
  <c r="E13" i="1" s="1"/>
  <c r="G144" i="2"/>
  <c r="G145" i="2" s="1"/>
  <c r="F152" i="2"/>
  <c r="T106" i="2"/>
  <c r="N29" i="2"/>
  <c r="I99" i="2"/>
  <c r="I149" i="2" s="1"/>
  <c r="G11" i="1" s="1"/>
  <c r="G149" i="2"/>
  <c r="I11" i="1"/>
  <c r="C10" i="1"/>
  <c r="P115" i="2"/>
  <c r="Q61" i="2"/>
  <c r="J106" i="2"/>
  <c r="H152" i="2"/>
  <c r="N106" i="2"/>
  <c r="P106" i="2"/>
  <c r="L106" i="2"/>
  <c r="Q14" i="2"/>
  <c r="N108" i="2"/>
  <c r="L108" i="2"/>
  <c r="J108" i="2"/>
  <c r="H150" i="2"/>
  <c r="I148" i="2"/>
  <c r="M99" i="2"/>
  <c r="N72" i="2"/>
  <c r="Q40" i="2"/>
  <c r="J40" i="2"/>
  <c r="N40" i="2"/>
  <c r="L40" i="2"/>
  <c r="P40" i="2"/>
  <c r="H99" i="2"/>
  <c r="S148" i="2"/>
  <c r="D6" i="22"/>
  <c r="S125" i="3" l="1"/>
  <c r="T13" i="3"/>
  <c r="G125" i="3"/>
  <c r="P16" i="1"/>
  <c r="C17" i="1"/>
  <c r="F15" i="1" s="1"/>
  <c r="S151" i="2"/>
  <c r="E16" i="1"/>
  <c r="X103" i="3"/>
  <c r="AC103" i="3"/>
  <c r="AC98" i="3" s="1"/>
  <c r="P102" i="3"/>
  <c r="AC102" i="3"/>
  <c r="L88" i="3"/>
  <c r="AC93" i="3"/>
  <c r="AB13" i="3"/>
  <c r="P13" i="3"/>
  <c r="T149" i="2"/>
  <c r="X13" i="3"/>
  <c r="Q144" i="2"/>
  <c r="L8" i="3"/>
  <c r="P8" i="3" s="1"/>
  <c r="AG98" i="3"/>
  <c r="I126" i="3"/>
  <c r="X102" i="3"/>
  <c r="X22" i="3"/>
  <c r="T102" i="3"/>
  <c r="AC6" i="3"/>
  <c r="F145" i="2"/>
  <c r="T145" i="2" s="1"/>
  <c r="T99" i="2"/>
  <c r="F151" i="2"/>
  <c r="F154" i="2" s="1"/>
  <c r="O144" i="2"/>
  <c r="AB102" i="3"/>
  <c r="AC67" i="3"/>
  <c r="AC66" i="3" s="1"/>
  <c r="AB24" i="3"/>
  <c r="O125" i="3"/>
  <c r="P22" i="3"/>
  <c r="O124" i="3"/>
  <c r="L98" i="3"/>
  <c r="AB103" i="3"/>
  <c r="AG14" i="3"/>
  <c r="I15" i="1"/>
  <c r="I17" i="1" s="1"/>
  <c r="K124" i="3"/>
  <c r="P103" i="3"/>
  <c r="T103" i="3"/>
  <c r="AG46" i="3"/>
  <c r="P5" i="3"/>
  <c r="D8" i="22"/>
  <c r="I145" i="2"/>
  <c r="X58" i="3"/>
  <c r="Y88" i="3"/>
  <c r="X5" i="3"/>
  <c r="T5" i="3"/>
  <c r="T22" i="3"/>
  <c r="S108" i="3"/>
  <c r="S124" i="3" s="1"/>
  <c r="P37" i="2"/>
  <c r="Q37" i="2"/>
  <c r="Q148" i="2" s="1"/>
  <c r="AB58" i="3"/>
  <c r="L14" i="3"/>
  <c r="P14" i="3" s="1"/>
  <c r="D15" i="1"/>
  <c r="AB93" i="3"/>
  <c r="AB53" i="3"/>
  <c r="T39" i="3"/>
  <c r="X39" i="3"/>
  <c r="P39" i="3"/>
  <c r="T73" i="3"/>
  <c r="X73" i="3"/>
  <c r="P93" i="3"/>
  <c r="X93" i="3"/>
  <c r="T93" i="3"/>
  <c r="AC88" i="3"/>
  <c r="Y68" i="3"/>
  <c r="W125" i="3"/>
  <c r="AB39" i="3"/>
  <c r="P73" i="3"/>
  <c r="AB73" i="3"/>
  <c r="T43" i="3"/>
  <c r="P43" i="3"/>
  <c r="X43" i="3"/>
  <c r="P75" i="3"/>
  <c r="T75" i="3"/>
  <c r="X75" i="3"/>
  <c r="AB74" i="3"/>
  <c r="L32" i="3"/>
  <c r="T32" i="3" s="1"/>
  <c r="T107" i="3"/>
  <c r="P107" i="3"/>
  <c r="L104" i="3"/>
  <c r="X107" i="3"/>
  <c r="Y32" i="3"/>
  <c r="AB75" i="3"/>
  <c r="Y108" i="3"/>
  <c r="AB113" i="3"/>
  <c r="F16" i="1"/>
  <c r="Y104" i="3"/>
  <c r="AG104" i="3"/>
  <c r="X53" i="3"/>
  <c r="P53" i="3"/>
  <c r="T53" i="3"/>
  <c r="Z124" i="3"/>
  <c r="L68" i="3"/>
  <c r="T68" i="3" s="1"/>
  <c r="P113" i="3"/>
  <c r="X113" i="3"/>
  <c r="T113" i="3"/>
  <c r="G124" i="3"/>
  <c r="L125" i="3" s="1"/>
  <c r="T114" i="3"/>
  <c r="P114" i="3"/>
  <c r="AB42" i="3"/>
  <c r="AB114" i="3"/>
  <c r="AB56" i="3"/>
  <c r="T88" i="3"/>
  <c r="P88" i="3"/>
  <c r="X88" i="3"/>
  <c r="X114" i="3"/>
  <c r="X56" i="3"/>
  <c r="T56" i="3"/>
  <c r="P56" i="3"/>
  <c r="AC58" i="3"/>
  <c r="AB88" i="3"/>
  <c r="AB89" i="3"/>
  <c r="X66" i="3"/>
  <c r="T50" i="3"/>
  <c r="X50" i="3"/>
  <c r="P50" i="3"/>
  <c r="L46" i="3"/>
  <c r="AB69" i="3"/>
  <c r="AA66" i="3"/>
  <c r="AB66" i="3" s="1"/>
  <c r="AB67" i="3"/>
  <c r="AB6" i="3"/>
  <c r="AB5" i="3"/>
  <c r="AC5" i="3"/>
  <c r="Y46" i="3"/>
  <c r="AB22" i="3"/>
  <c r="P58" i="3"/>
  <c r="X8" i="3"/>
  <c r="AB8" i="3"/>
  <c r="AC8" i="3"/>
  <c r="T148" i="2"/>
  <c r="K148" i="2"/>
  <c r="K145" i="2"/>
  <c r="L37" i="2"/>
  <c r="C12" i="1"/>
  <c r="C14" i="1" s="1"/>
  <c r="F10" i="1" s="1"/>
  <c r="T152" i="2"/>
  <c r="H148" i="2"/>
  <c r="N37" i="2"/>
  <c r="M149" i="2"/>
  <c r="M145" i="2"/>
  <c r="N99" i="2"/>
  <c r="G10" i="1"/>
  <c r="I151" i="2"/>
  <c r="N150" i="2"/>
  <c r="J150" i="2"/>
  <c r="L150" i="2"/>
  <c r="Q13" i="1"/>
  <c r="R13" i="1" s="1"/>
  <c r="P108" i="2"/>
  <c r="O150" i="2"/>
  <c r="J99" i="2"/>
  <c r="H149" i="2"/>
  <c r="L99" i="2"/>
  <c r="H145" i="2"/>
  <c r="L152" i="2"/>
  <c r="N152" i="2"/>
  <c r="J152" i="2"/>
  <c r="P152" i="2"/>
  <c r="Q150" i="2"/>
  <c r="D11" i="1"/>
  <c r="E11" i="1" s="1"/>
  <c r="G151" i="2"/>
  <c r="G154" i="2" s="1"/>
  <c r="O10" i="1"/>
  <c r="H13" i="1"/>
  <c r="L13" i="1"/>
  <c r="J13" i="1"/>
  <c r="J144" i="2"/>
  <c r="L144" i="2"/>
  <c r="N144" i="2"/>
  <c r="E10" i="1"/>
  <c r="S154" i="2"/>
  <c r="L16" i="1" l="1"/>
  <c r="J16" i="1"/>
  <c r="T154" i="2"/>
  <c r="T151" i="2"/>
  <c r="O14" i="1"/>
  <c r="P14" i="1" s="1"/>
  <c r="D5" i="22"/>
  <c r="D9" i="22" s="1"/>
  <c r="H16" i="1"/>
  <c r="J108" i="3"/>
  <c r="J124" i="3" s="1"/>
  <c r="AC108" i="3"/>
  <c r="T98" i="3"/>
  <c r="T8" i="3"/>
  <c r="P98" i="3"/>
  <c r="L108" i="3"/>
  <c r="AB108" i="3" s="1"/>
  <c r="AA124" i="3"/>
  <c r="AC104" i="3"/>
  <c r="AB43" i="3"/>
  <c r="E15" i="1"/>
  <c r="E17" i="1" s="1"/>
  <c r="AB98" i="3"/>
  <c r="D17" i="1"/>
  <c r="AB14" i="3"/>
  <c r="AC68" i="3"/>
  <c r="AC14" i="3"/>
  <c r="X98" i="3"/>
  <c r="X14" i="3"/>
  <c r="L145" i="2"/>
  <c r="M16" i="1"/>
  <c r="N16" i="1" s="1"/>
  <c r="Q16" i="1"/>
  <c r="R16" i="1" s="1"/>
  <c r="T14" i="3"/>
  <c r="X32" i="3"/>
  <c r="P32" i="3"/>
  <c r="Y124" i="3"/>
  <c r="AC32" i="3"/>
  <c r="X68" i="3"/>
  <c r="AB68" i="3"/>
  <c r="P68" i="3"/>
  <c r="AB32" i="3"/>
  <c r="AB107" i="3"/>
  <c r="AB104" i="3"/>
  <c r="P104" i="3"/>
  <c r="T104" i="3"/>
  <c r="X104" i="3"/>
  <c r="T46" i="3"/>
  <c r="X46" i="3"/>
  <c r="P46" i="3"/>
  <c r="AB50" i="3"/>
  <c r="AB46" i="3"/>
  <c r="AC46" i="3"/>
  <c r="AF108" i="3"/>
  <c r="D23" i="22" s="1"/>
  <c r="AD124" i="3"/>
  <c r="N145" i="2"/>
  <c r="P10" i="1"/>
  <c r="N148" i="2"/>
  <c r="P148" i="2"/>
  <c r="J148" i="2"/>
  <c r="P12" i="1"/>
  <c r="E12" i="1"/>
  <c r="I10" i="1"/>
  <c r="I14" i="1" s="1"/>
  <c r="I19" i="1" s="1"/>
  <c r="I31" i="1" s="1"/>
  <c r="L148" i="2"/>
  <c r="K151" i="2"/>
  <c r="K154" i="2" s="1"/>
  <c r="H151" i="2"/>
  <c r="J151" i="2" s="1"/>
  <c r="J149" i="2"/>
  <c r="L149" i="2"/>
  <c r="P144" i="2"/>
  <c r="I154" i="2"/>
  <c r="J145" i="2"/>
  <c r="K11" i="1"/>
  <c r="N149" i="2"/>
  <c r="M151" i="2"/>
  <c r="M13" i="1"/>
  <c r="P150" i="2"/>
  <c r="G14" i="1"/>
  <c r="H10" i="1"/>
  <c r="R10" i="1"/>
  <c r="N10" i="1"/>
  <c r="L10" i="1"/>
  <c r="D14" i="1"/>
  <c r="C19" i="1"/>
  <c r="F12" i="1"/>
  <c r="F11" i="1"/>
  <c r="F13" i="1"/>
  <c r="AC124" i="3" l="1"/>
  <c r="P108" i="3"/>
  <c r="X108" i="3"/>
  <c r="D25" i="22"/>
  <c r="D26" i="22" s="1"/>
  <c r="L124" i="3"/>
  <c r="X124" i="3" s="1"/>
  <c r="T108" i="3"/>
  <c r="D19" i="1"/>
  <c r="D31" i="1" s="1"/>
  <c r="D29" i="1" s="1"/>
  <c r="J10" i="1"/>
  <c r="L15" i="1"/>
  <c r="H15" i="1"/>
  <c r="J15" i="1"/>
  <c r="M15" i="1"/>
  <c r="M17" i="1" s="1"/>
  <c r="Q15" i="1"/>
  <c r="E14" i="1"/>
  <c r="H14" i="1" s="1"/>
  <c r="AA125" i="3"/>
  <c r="O15" i="1"/>
  <c r="AF125" i="3"/>
  <c r="J12" i="1"/>
  <c r="N12" i="1"/>
  <c r="R12" i="1"/>
  <c r="L12" i="1"/>
  <c r="H12" i="1"/>
  <c r="F14" i="1"/>
  <c r="L11" i="1"/>
  <c r="K14" i="1"/>
  <c r="H11" i="1"/>
  <c r="J11" i="1"/>
  <c r="N13" i="1"/>
  <c r="G19" i="1"/>
  <c r="G31" i="1" s="1"/>
  <c r="H154" i="2"/>
  <c r="L154" i="2" s="1"/>
  <c r="L151" i="2"/>
  <c r="C27" i="1"/>
  <c r="C31" i="1"/>
  <c r="M154" i="2"/>
  <c r="N151" i="2"/>
  <c r="AB124" i="3" l="1"/>
  <c r="T124" i="3"/>
  <c r="P124" i="3"/>
  <c r="N15" i="1"/>
  <c r="N17" i="1"/>
  <c r="E19" i="1"/>
  <c r="E31" i="1" s="1"/>
  <c r="H17" i="1"/>
  <c r="J17" i="1"/>
  <c r="L17" i="1"/>
  <c r="J14" i="1"/>
  <c r="Q17" i="1"/>
  <c r="R15" i="1"/>
  <c r="R17" i="1" s="1"/>
  <c r="AF124" i="3"/>
  <c r="AG108" i="3"/>
  <c r="O17" i="1"/>
  <c r="P17" i="1" s="1"/>
  <c r="P15" i="1"/>
  <c r="N154" i="2"/>
  <c r="J154" i="2"/>
  <c r="C29" i="1"/>
  <c r="K19" i="1"/>
  <c r="L14" i="1"/>
  <c r="M27" i="1"/>
  <c r="E27" i="1"/>
  <c r="K31" i="1" l="1"/>
  <c r="AG124" i="3"/>
  <c r="O19" i="1"/>
  <c r="O27" i="1" s="1"/>
  <c r="K27" i="1"/>
  <c r="L27" i="1" s="1"/>
  <c r="R27" i="1"/>
  <c r="G27" i="1"/>
  <c r="I27" i="1"/>
  <c r="N27" i="1"/>
  <c r="E29" i="1"/>
  <c r="K29" i="1" l="1"/>
  <c r="O31" i="1"/>
  <c r="O29" i="1" s="1"/>
  <c r="D32" i="22"/>
  <c r="H27" i="1"/>
  <c r="G29" i="1"/>
  <c r="J27" i="1"/>
  <c r="I29" i="1"/>
  <c r="O97" i="2"/>
  <c r="O99" i="2"/>
  <c r="P99" i="2" l="1"/>
  <c r="Q97" i="2"/>
  <c r="Q99" i="2" s="1"/>
  <c r="O145" i="2"/>
  <c r="O149" i="2"/>
  <c r="Q11" i="1"/>
  <c r="P149" i="2" l="1"/>
  <c r="M11" i="1"/>
  <c r="O151" i="2"/>
  <c r="Q14" i="1"/>
  <c r="Q19" i="1" s="1"/>
  <c r="R11" i="1"/>
  <c r="R14" i="1" s="1"/>
  <c r="P145" i="2"/>
  <c r="Q145" i="2"/>
  <c r="Q149" i="2"/>
  <c r="Q151" i="2" s="1"/>
  <c r="Q154" i="2" s="1"/>
  <c r="R19" i="1" l="1"/>
  <c r="Q31" i="1"/>
  <c r="O154" i="2"/>
  <c r="P154" i="2" s="1"/>
  <c r="P151" i="2"/>
  <c r="M14" i="1"/>
  <c r="N11" i="1"/>
  <c r="R31" i="1" l="1"/>
  <c r="Q29" i="1"/>
  <c r="R29" i="1" s="1"/>
  <c r="N14" i="1"/>
  <c r="M19" i="1"/>
  <c r="M31" i="1" s="1"/>
  <c r="M29" i="1" s="1"/>
</calcChain>
</file>

<file path=xl/comments1.xml><?xml version="1.0" encoding="utf-8"?>
<comments xmlns="http://schemas.openxmlformats.org/spreadsheetml/2006/main">
  <authors>
    <author>Kynčlová Miroslava, Ing.</author>
    <author>Trojanová Hana, Ing.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2 000 tis Kč úvěr IROP
569 tis Kč EPC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-2328 splátka EPC za rok 2022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Trojanová Hana, Ing.</author>
    <author>Město Jilemnice</author>
  </authors>
  <commentList>
    <comment ref="E15" authorId="0" shape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 shapeId="0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 shape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VHP</t>
        </r>
      </text>
    </comment>
    <comment ref="I2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2 500 VHP</t>
        </r>
      </text>
    </comment>
    <comment ref="E25" authorId="0" shape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I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1 200 správa - poplatek za povolení splátek</t>
        </r>
      </text>
    </comment>
    <comment ref="K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2 000 správa - poplatek za povolení splátek (Stáňa)
</t>
        </r>
      </text>
    </comment>
    <comment ref="M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2 000 správa - poplatek za povolení splátek (Stáňa)
</t>
        </r>
      </text>
    </comment>
    <comment ref="O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2,8 správa - poplatek za povolení splátek (Stáňa)
</t>
        </r>
      </text>
    </comment>
    <comment ref="E27" authorId="0" shape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E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1349 zrušené poplatky
1344 poplatek ze vstupného
</t>
        </r>
      </text>
    </comment>
    <comment ref="I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1 700 ubytovací kapacita
9 000 ze vstupného</t>
        </r>
      </text>
    </comment>
    <comment ref="K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1 700 ubytovací kapacita
18 000 ze vstupného</t>
        </r>
      </text>
    </comment>
    <comment ref="M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1 700 ubytovací kapacita
27
 000 ze vstupného</t>
        </r>
      </text>
    </comment>
    <comment ref="G4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450+250 navýšení DPH
</t>
        </r>
      </text>
    </comment>
    <comment ref="I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11 701,11 doplatek 2021</t>
        </r>
      </text>
    </comment>
    <comment ref="K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11 701,11 vratak energií</t>
        </r>
      </text>
    </comment>
    <comment ref="O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11 701,11 vratka energií</t>
        </r>
      </text>
    </comment>
    <comment ref="I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1 572,93 energie vyúčtování 2021
</t>
        </r>
      </text>
    </comment>
    <comment ref="K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4 590,71 energie vyúčtování 2021</t>
        </r>
      </text>
    </comment>
    <comment ref="F5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dle uzavřených smluv
</t>
        </r>
      </text>
    </comment>
    <comment ref="S5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dle seznamu</t>
        </r>
      </text>
    </comment>
    <comment ref="F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10 - org. 319 restaurace pod radnicí
96 - org. 21 (DC, KRNAP, Kiosek)</t>
        </r>
      </text>
    </comment>
    <comment ref="S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110 - org. 21 (DC, KRNAP, Kiosek)</t>
        </r>
      </text>
    </comment>
    <comment ref="F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komunální služby a rozvoj Furi
</t>
        </r>
      </text>
    </comment>
    <comment ref="I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3 246,51 komun.služby energie vyúčtování zahr.domek, fontána</t>
        </r>
      </text>
    </comment>
    <comment ref="K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4 713,75 komun.služby energie vyúčtování zahr.domek, fontána</t>
        </r>
      </text>
    </comment>
    <comment ref="M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4 713,75 komun.služby energie vyúčtování zahr.domek, fontána</t>
        </r>
      </text>
    </comment>
    <comment ref="F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110
orj18  1000
orj 19  5
dary 2321  150
</t>
        </r>
      </text>
    </comment>
    <comment ref="I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1 490,37 vratka energie 2021
</t>
        </r>
      </text>
    </comment>
    <comment ref="S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zrušen dar,
80 služby, 
1000 placená péče,
3 drobné
100 dary</t>
        </r>
      </text>
    </comment>
    <comment ref="E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2324
43 prodej receptů</t>
        </r>
      </text>
    </comment>
    <comment ref="F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tech popl.sńatky zrušeny
končí exekuce Tužová
250 kniha Jilemnice
</t>
        </r>
      </text>
    </comment>
    <comment ref="I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
14 887 SF
1 683 správa - poštovné Zpravodaj celoroční 2022
8 300 DHM prodej
415 kopírování
53,10 penále čp.1
44 364,26 vratky energie budovy město 2021</t>
        </r>
      </text>
    </comment>
    <comment ref="K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 prodej receptů
14 887 SF
1 723 správa - poštovné za Zpravodaj je to celoročně 2022
8 300 DHM prodej
500 kopírování
106,79 penále čp.1
63 623,34 vratky energie budovy město 2021</t>
        </r>
      </text>
    </comment>
    <comment ref="M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 prodej receptů
14 887 SF
1 723 správa - poštovné za Zpravodaj je to celoročně 2022
13 700 DHM prodej
845 kopírování
161,07 penále čp.1
11 701,11+4 590,71+4 713,75+4 704,20
vratky energie 
63 623,34 vratky en. budovy město 2021
12 512 za pohřeb min.rok</t>
        </r>
      </text>
    </comment>
    <comment ref="O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80 prodej receptů
14 887 SF
1 723 správa - poštovné za Zpravodaj je to celoročně 2022
25 400 DHM prodej
720 kopírování
52,83263 vratky en. budovy město 2021
12 512 za pohřeb min.rok
215,35 čp. 1131,68 131,68 EUR účet</t>
        </r>
      </text>
    </comment>
    <comment ref="F5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660 ZŠ Harr
888 ZŠ Kom
338 MŠ
66 ZUŠ
655 SD Jilm
</t>
        </r>
      </text>
    </comment>
    <comment ref="S5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660 ZŠ Harr
888 ZŠ Kom
338 MŠ
67 ZUŠ
655 SD Jilm
992 zrušená ZŠ spec a MŠ spec</t>
        </r>
      </text>
    </comment>
    <comment ref="E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2324
2111</t>
        </r>
      </text>
    </comment>
    <comment ref="F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1300 kompenzace za tř. odpad
100 služby</t>
        </r>
      </text>
    </comment>
    <comment ref="S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1700 kompenzace za tř. odpad včetně DPH
100 služby</t>
        </r>
      </text>
    </comment>
    <comment ref="E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</t>
        </r>
      </text>
    </comment>
    <comment ref="I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11 044,39 2111 elektr+voda
</t>
        </r>
      </text>
    </comment>
    <comment ref="S6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nájemné včetně služeb</t>
        </r>
      </text>
    </comment>
    <comment ref="F6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826 nájem
195 90%zelený bonus
+ DPH 21%</t>
        </r>
      </text>
    </comment>
    <comment ref="F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24+2+54+1+7+275+27+34+8+15+6+5=458
</t>
        </r>
      </text>
    </comment>
    <comment ref="E79" authorId="1" shapeId="0">
      <text>
        <r>
          <rPr>
            <sz val="8"/>
            <color indexed="81"/>
            <rFont val="Tahoma"/>
            <family val="2"/>
            <charset val="238"/>
          </rPr>
          <t>32 pasy
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M8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5 400-3 560 nezaúčtované platby</t>
        </r>
      </text>
    </comment>
    <comment ref="I8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silnice za rok 2021
8 819 policie obecní - vratky energie
17 041 platby kartou nedošlé
</t>
        </r>
      </text>
    </comment>
    <comment ref="G8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 fin dar Devro na altán PS</t>
        </r>
      </text>
    </comment>
    <comment ref="M8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100 dary zdravá města H+V
185 DPS
</t>
        </r>
      </text>
    </comment>
    <comment ref="O8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336 sankce oprava střech čp. 101, 103</t>
        </r>
      </text>
    </comment>
    <comment ref="E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113 SF
314 správa
321 obecní policie</t>
        </r>
      </text>
    </comment>
    <comment ref="K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údržba komunikací
8 819,8 OPolicie</t>
        </r>
      </text>
    </comment>
    <comment ref="M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údržba komunikací
8 819,8 OPolicie</t>
        </r>
      </text>
    </comment>
    <comment ref="O9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12 156 údržba komunikací
8 819,8 OPolicie</t>
        </r>
      </text>
    </comment>
    <comment ref="E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covid
</t>
        </r>
      </text>
    </comment>
    <comment ref="K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47 078 vratky covid grant program</t>
        </r>
      </text>
    </comment>
    <comment ref="M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55 613 vratky covid grant program</t>
        </r>
      </text>
    </comment>
    <comment ref="O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55 613 vratky covid grant program</t>
        </r>
      </text>
    </comment>
    <comment ref="G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</t>
        </r>
      </text>
    </comment>
    <comment ref="K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</t>
        </r>
      </text>
    </comment>
    <comment ref="M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
11 081,70 potravinová pomoc vratka MŠ</t>
        </r>
      </text>
    </comment>
    <comment ref="O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97 000 GP soc. služby 2021
14 000 Club Krkonoš 2021
2 000 char. Taxi 2021
11 081,70 potravinová pomoc vratka MŠ</t>
        </r>
      </text>
    </comment>
    <comment ref="G9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466 Mze ČR LHO Podkrknoší
71,9 LHO - MZeČR Krkonoše</t>
        </r>
      </text>
    </comment>
    <comment ref="I9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16 800 PO dobrovolná část</t>
        </r>
      </text>
    </comment>
    <comment ref="F10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2080 Petrovická
1500 dražba byt 1+1
2080 Holec
</t>
        </r>
      </text>
    </comment>
    <comment ref="G11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180 obec
62 prezident</t>
        </r>
      </text>
    </comment>
    <comment ref="G11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415 II. Etapa hosp. osnovy
144 obnova krajiny
466 Mze ČR LHO Podkrknoší
71,9 LHO - MZeČR Krkonoše
0,256 MŽO ČR doplatek</t>
        </r>
      </text>
    </comment>
    <comment ref="S1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+266 tis zůstatek dotace z roku 2022
nově se nevrací a zůstává do dalšího roku k čerpání</t>
        </r>
      </text>
    </comment>
    <comment ref="G11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195,557 Mze ČR pro městské lesy
34,980 MŽP hosp. v lesích na území NP
</t>
        </r>
      </text>
    </comment>
    <comment ref="O11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195,557 Mze ČR pro městské lesy
34,980 MŽP hosp. v lesích na území NP
</t>
        </r>
      </text>
    </comment>
    <comment ref="G12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255 vratka nevyčerpané dotace</t>
        </r>
      </text>
    </comment>
    <comment ref="G1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účelová dotace LK
47,73 dotace LK</t>
        </r>
      </text>
    </comment>
    <comment ref="S12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 minulého roku 
+1 135tis. Kč</t>
        </r>
      </text>
    </comment>
    <comment ref="G13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MŠ potr. pomoc</t>
        </r>
      </text>
    </comment>
    <comment ref="I13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MPSV ČR pro MŠ
</t>
        </r>
      </text>
    </comment>
    <comment ref="K13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MPSV ČR pro MŠ</t>
        </r>
      </text>
    </comment>
    <comment ref="G13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39 projekt polytechnické vzdělávání
</t>
        </r>
      </text>
    </comment>
    <comment ref="G1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884 MPSV ČR přes LK
3184 MPSV přes HK
3582 MPSV přes LK
31,850 MPSV přes HK doplatek</t>
        </r>
      </text>
    </comment>
    <comment ref="I1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883 607 DC
</t>
        </r>
      </text>
    </comment>
    <comment ref="G13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57795 MPSV ČR</t>
        </r>
      </text>
    </comment>
    <comment ref="S1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 za rok 2022</t>
        </r>
      </text>
    </comment>
  </commentList>
</comments>
</file>

<file path=xl/comments3.xml><?xml version="1.0" encoding="utf-8"?>
<comments xmlns="http://schemas.openxmlformats.org/spreadsheetml/2006/main">
  <authors>
    <author>Trojanová Hana, Ing.</author>
    <author>Notebook pracovni 3</author>
    <author>Kynčlová Miroslava, Ing.</author>
    <author>Šolcová Ilona, Ing.</author>
    <author>Město Jilemnice</author>
    <author>notebook</author>
    <author>Hanka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provoz
653 mzdy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65 557 dotace Mze ČR
34 980 MŽP hosp. v lesích na území NP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415 II. Etapa hosp. osnovy
144 obnova krajiny
0,256 MŽO ČR doplatek
71,9 LHO - MZeČR Krkonoše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466 Mze ČR LHO Podkrknoší
</t>
        </r>
      </text>
    </comment>
    <comment ref="AD1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mobilní rozhlas?
200 infční totemy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137 propagace
350 služby z toho kniha a komiks Jilemnice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90 dofinancování vydání knihy</t>
        </r>
      </text>
    </comment>
    <comment ref="AD1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 stavba Krakonoše
42 upomínkové předměty, materiál
3 nájemné
250 služby
350 kniha Jilemnice vydání
19 občerstvení
10 příspěvky
12 dary
10 ostatní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projekt příprava suché nádrže na vodním roku Jilemky
130 projekt VO Na Drahách a Na Žuliánce
622 projekt rekonstrukce komunikace Na Drahách a Na Žuliánce
230 projekt dešťové kanlizace Na Drahách a Na Žuliánce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
375 původní</t>
        </r>
        <r>
          <rPr>
            <sz val="9"/>
            <color indexed="81"/>
            <rFont val="Tahoma"/>
            <family val="2"/>
            <charset val="238"/>
          </rPr>
          <t xml:space="preserve">
150 projekt příprava suché nádrže na vodním roku Jilemky
130 projekt VO Na Drahách a Na Žuliánce
622 projekt rekonstrukce komunikace Na Drahách a Na Žuliánce
230 130 projekt dešťové kanlizace Na Drahách a Na Žuliánce</t>
        </r>
      </text>
    </comment>
    <comment ref="AD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108 z daru Nadačního fondu AUTO ŠKODA v roce 2022</t>
        </r>
      </text>
    </comment>
    <comment ref="AE1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22 000 VHS
 2 000 VO
   200  ostatní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 oprava padající zdi pod kopečkem
</t>
        </r>
      </text>
    </comment>
    <comment ref="AD1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3775 údržba komunikací
20 obměny značek
1900 opravy vozovek, kanálů
9 oděvy
rok 2022 oprava zdi Kopeček
50 obrubníky Spořilov
50 komunikace H+V</t>
        </r>
      </text>
    </comment>
    <comment ref="AD19" authorId="1" shapeId="0">
      <text>
        <r>
          <rPr>
            <b/>
            <sz val="9"/>
            <color indexed="81"/>
            <rFont val="Tahoma"/>
            <family val="2"/>
            <charset val="238"/>
          </rPr>
          <t>Notebook pracovni 3:</t>
        </r>
        <r>
          <rPr>
            <sz val="9"/>
            <color indexed="81"/>
            <rFont val="Tahoma"/>
            <family val="2"/>
            <charset val="238"/>
          </rPr>
          <t xml:space="preserve">
projekce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doplatek avizovaný vícepráce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zpomalovací radar Krkonošská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5000 dotace od nás VHS
500 ostatní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2500 veřejné osvětlení bude více až 4 mil
3000 VHS od nás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1803 veřejné osvětlení doplnění, projekt, vícenáklady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730 mzdy
107 maketa rep.m. zařízení 2 prac. Míst
300 hybrid.pošta
39 kalibrace ČMI
100 uprava prostor pro 2 prac.místa
95 progr. vyb.
90 změny dle gemos na polic.služ.
80 úprava migrace dat
35 napojení na ČP
34 roční poplatek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766 repr. modul+příslušenství
405 software Srvdata center 2x
246 licence GINIS</t>
        </r>
      </text>
    </comment>
    <comment ref="AD2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380 provoz
1123 mzdy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potravinová pomoc
-24 475,5 nevyčerpána vrácena
39 projekt polytechnické vzdělávání
943 886 projekt vzdělávání J. A. Komenský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20 804,18 potravinová pomoc
3 671,32 potravinová pomoc</t>
        </r>
      </text>
    </comment>
    <comment ref="Y3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24 475,5 potravinová pomoc
-24 475,5 nevyčerpána vrácena
39 projekt polytechnické vzdělávání
943 886 projekt vzdělávání J. A. Komenský</t>
        </r>
      </text>
    </comment>
    <comment ref="AD3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1796 energie
150 opravy
příjem školné dle zákona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nikdo nepřihlášen do VŘ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2300 střechy 101,103
300 opravy
</t>
        </r>
      </text>
    </comment>
    <comment ref="AD3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stropy a podlahy ZŠ Harracha</t>
        </r>
      </text>
    </comment>
    <comment ref="AE3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8670 DC a MŠ Spořilovská vzduchotechnika a FVE (dotace 6 118)
3600 ZŠ čp 101 vzduchotechnika (dotace 2 333) - odkládá se</t>
        </r>
      </text>
    </comment>
    <comment ref="AD3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1353 energie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AD3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MŠMT adaptační skupiny
255 vratka nevyčerpané dot.</t>
        </r>
      </text>
    </comment>
    <comment ref="Y4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MŠMT adaptační skupiny
255 vratka nevyčerpané dot.</t>
        </r>
      </text>
    </comment>
    <comment ref="AD4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737 energie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3tis úroky z úvěru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projektová dokumentace kuchyň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 navýšení výdajů proti navýšeným příjmům</t>
        </r>
      </text>
    </comment>
    <comment ref="AD4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460 energie
příjem školné</t>
        </r>
      </text>
    </comment>
    <comment ref="AD4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roční inflační navýšení 10/22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2708 oprava zám. Zdi, dotace kraj 1000
60 povinnosti ze st. Zákona
270 městský grant - povinné příspěvky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1170 obnova zámecké ohradní zdi dofinancování
1000 dotace kraj na obnov památek
270 MK ČR obnova památek
-300 dojde v roce 2023</t>
        </r>
      </text>
    </comment>
    <comment ref="AD5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Hana, Ing.:
</t>
        </r>
        <r>
          <rPr>
            <sz val="9"/>
            <color indexed="81"/>
            <rFont val="Tahoma"/>
            <family val="2"/>
            <charset val="238"/>
          </rPr>
          <t>oprava ohradní zdi 2. etapa
700 mil dotace
300 doplatek dotace z roku 2022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75 mzdy
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2275 knihovna
3659 SD Jilm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140 spoluúčast projekt "Kultura"
10 dotace "Mezi řádky" knižní festiválek</t>
        </r>
      </text>
    </comment>
    <comment ref="AD5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2201 energie celkem 
4591,5 SD Jilm
2581,5 knihovna
88 spoluúčast projekt
1000 židle nové</t>
        </r>
      </text>
    </comment>
    <comment ref="AD5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950 max NFV schváleno ZM 3/22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 mzdy</t>
        </r>
      </text>
    </comment>
    <comment ref="AD5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celkové výdaje 14,2 mil
příjmy 7,1 mil
energie 4,1 mil</t>
        </r>
      </text>
    </comment>
    <comment ref="AE6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investiční potřeby
</t>
        </r>
      </text>
    </comment>
    <comment ref="E64" authorId="2" shapeId="0">
      <text>
        <r>
          <rPr>
            <sz val="9"/>
            <color indexed="81"/>
            <rFont val="Tahoma"/>
            <family val="2"/>
            <charset val="238"/>
          </rPr>
          <t xml:space="preserve">
50 SKI - Jilemnická 50
30 SKI Hančův memoriál 
20 biatlon</t>
        </r>
      </text>
    </comment>
    <comment ref="AD6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roční inflační navýšení 10/22 schváleno ZM 12/22</t>
        </r>
      </text>
    </comment>
    <comment ref="E67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130 ocenění akcií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ročně 13 308 036,85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600 stoupačky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vícenáklady
</t>
        </r>
      </text>
    </comment>
    <comment ref="E73" authorId="3" shapeId="0">
      <text>
        <r>
          <rPr>
            <b/>
            <sz val="9"/>
            <color indexed="81"/>
            <rFont val="Tahoma"/>
            <family val="2"/>
            <charset val="238"/>
          </rPr>
          <t>Šolcová Ilona, Ing.:
171 úroky</t>
        </r>
        <r>
          <rPr>
            <sz val="9"/>
            <color indexed="81"/>
            <rFont val="Tahoma"/>
            <family val="2"/>
            <charset val="238"/>
          </rPr>
          <t xml:space="preserve">
146 000 Kč - MVV energetický management
54 000 Kč - RIB analýza vhodnosti objektů pro EPC (10%)
250 000 - vypracování energetických auditů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zpracování analýzy vhodnosti EPC projektu</t>
        </r>
      </text>
    </comment>
    <comment ref="AD73" authorId="3" shapeId="0">
      <text>
        <r>
          <rPr>
            <sz val="9"/>
            <color indexed="81"/>
            <rFont val="Tahoma"/>
            <family val="2"/>
            <charset val="238"/>
          </rPr>
          <t>2900 - projekt EPC - dodatečná opatření ENETIQUA- neinvestiční část, celkem 4700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135 úroky
146 000 Kč - MVV energetický management
290 000 - Porsenna
100 000 - podíl dotace
10 - účast SEMMO</t>
        </r>
      </text>
    </comment>
    <comment ref="AE73" authorId="3" shapeId="0">
      <text>
        <r>
          <rPr>
            <sz val="9"/>
            <color indexed="81"/>
            <rFont val="Tahoma"/>
            <family val="2"/>
            <charset val="238"/>
          </rPr>
          <t xml:space="preserve">1800 - projekt EPC - dodatečná opatření ENETIQUA - investiční část
celkem 4700
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291 provoz
200 oprava projekt</t>
        </r>
      </text>
    </comment>
    <comment ref="AD7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projekt opravy budovy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tis na navýšení el. energie Elektros 70%
14115 - oprava VO po nehodě mínusem
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345 projekt úspory el. en. VO</t>
        </r>
      </text>
    </comment>
    <comment ref="AD78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2 100 tis  el. energie, navýšeno o 800tis.
spot. cena</t>
        </r>
      </text>
    </comment>
    <comment ref="AE7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kořeny</t>
        </r>
      </text>
    </comment>
    <comment ref="AD8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návýšeny náklady na sociální pohřby</t>
        </r>
      </text>
    </comment>
    <comment ref="AD8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externí doplnění změn v ÚP pro celé ORP</t>
        </r>
      </text>
    </comment>
    <comment ref="AF8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externí doplnění změn v ÚP pro celé ORP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přesun z oprav budov MU</t>
        </r>
      </text>
    </comment>
    <comment ref="AD8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200 hromosvod a vniítřní úpravy kiosek</t>
        </r>
      </text>
    </comment>
    <comment ref="AD84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 zakrytí kašny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 provoz
442 mzdy</t>
        </r>
      </text>
    </comment>
    <comment ref="AD8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123 provoz
501 mzdy</t>
        </r>
      </text>
    </comment>
    <comment ref="E87" authorId="4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AD87" authorId="4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110 org. 21 (DC, KRNAP, Kiosek)</t>
        </r>
      </text>
    </comment>
    <comment ref="AF87" authorId="4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AD8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avizované navýšení svozu EKO Jilemnicko a RTT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obnova majetku
358 záloha na rok 2022 (o 10% navýšena skutečnost 2021 - 306tis)
-183 přeplatek 2021</t>
        </r>
      </text>
    </comment>
    <comment ref="AD9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navýšení 20% Svazek obcí Jilemnicko VH</t>
        </r>
      </text>
    </comment>
    <comment ref="F91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2x dotace inv. 915tis, 31.3.22 a 30.9.22</t>
        </r>
      </text>
    </comment>
    <comment ref="AD9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předpoklad obdržení dotace ve výši 1300 tis Kč, zatím nepodáno, vlastní podíl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2317 mzdy
300 soutěž na sekání navíc
300 kruhový objezd výsadba
</t>
        </r>
      </text>
    </comment>
    <comment ref="AD9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2400 je třeba na sekání
2513 mzdy</t>
        </r>
      </text>
    </comment>
    <comment ref="E99" authorId="5" shapeId="0">
      <text>
        <r>
          <rPr>
            <b/>
            <sz val="9"/>
            <color indexed="81"/>
            <rFont val="Tahoma"/>
            <family val="2"/>
            <charset val="238"/>
          </rPr>
          <t>notebook:</t>
        </r>
        <r>
          <rPr>
            <sz val="9"/>
            <color indexed="81"/>
            <rFont val="Tahoma"/>
            <family val="2"/>
            <charset val="238"/>
          </rPr>
          <t xml:space="preserve">
podíl města 220tis</t>
        </r>
      </text>
    </comment>
    <comment ref="AD9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1135 z roku 2022
626 podíl obcí
209 podíl města</t>
        </r>
      </text>
    </comment>
    <comment ref="E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mzdy  5733
ostatní 591</t>
        </r>
      </text>
    </comment>
    <comment ref="F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elektromobil 95% by měla být dotace, dle žádosti o dotaci může být cena za pořízení až 880tis - budeme řešit rozp. opatřením
</t>
        </r>
      </text>
    </comment>
    <comment ref="H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57,7 vyšší dotace
650 vyšší dotace
220 dofinancování elektro mobil
</t>
        </r>
      </text>
    </comment>
    <comment ref="I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 stavba altánu (dar Devro)</t>
        </r>
      </text>
    </comment>
    <comment ref="Z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905 884.- celkem výdaje za elektromobil </t>
        </r>
      </text>
    </comment>
    <comment ref="AD102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6083 mzdy limit
756 ostatní
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884 MPSV ČR přes LK
3184 MPSV přes HK
3582 MPSV přes LK
31,850 MPSV přes HK doplatek</t>
        </r>
      </text>
    </comment>
    <comment ref="AD10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969 příspěvek nájemné
447 příspěvek provoz
70 navýšení na energie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250tisKč
par 5272 203tisKč
</t>
        </r>
      </text>
    </comment>
    <comment ref="AD10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205tisKč
par 5272 203tisKč
</t>
        </r>
      </text>
    </commen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448
1979 mzdy 3 zam
</t>
        </r>
      </text>
    </comment>
    <comment ref="AD106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370
3318 mzdy 4
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 voda na Kozinci
50 DPČ
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účelová KÚ LK
47,9 obnova věcných prostředků
47,73 dotace LK
61,6 provoz - z pojist. událostí</t>
        </r>
      </text>
    </comment>
    <comment ref="AD10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navýšení dle zákona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180 obec
62 prezident
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EZS budov - alarm
230tis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150 přesun na opravy pronajímaných prostor</t>
        </r>
      </text>
    </comment>
    <comment ref="AD11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požární zaříz. servrovna součást budovy 
137tis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37,2 od LK Pomoc Ukrajině (přes SBD)
45 od LK Pomoc Ukrajině (přes SBD)
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450+250 DPH prodej dřeva zvýšený</t>
        </r>
      </text>
    </comment>
    <comment ref="AD119" authorId="6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150 prodej dřeva z roku 2022
300 DPH za tříděný odpad (nově od 2 Q 2022)
</t>
        </r>
      </text>
    </comment>
    <comment ref="E120" authorId="6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31 dotace retnč.nádž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11,0817 vratka nevyčerpané dotace -potr. pomoc</t>
        </r>
      </text>
    </comment>
    <comment ref="U12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11,0817 vratka nevyčerpané dotace -potr. pomoc</t>
        </r>
      </text>
    </comment>
    <comment ref="AD120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97 projekt sociální práce v Jilemnici - závěrečné vyúčtování
62 dotace volby 2022 vratka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 rezerva odchodné
1550 rezerva ostatní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356,32 kompenzační bonus
-1250 NFV SD Jilm
130 Mze ČR lesy
1150 z MŠ Zámecká
90 kniha Jilemnice
-210 workoutové hřiště dof.
100 proj.domácí kompostéry
552 dotace elektromobil (část)
150 SD Jilm provoz. příspěvek navyýšení
13,3982 kompenzační bonus
50 Památka roku 2021
240 Údržba komunikací
-600 opravy SBD stoupačky
-370 zpomalovací radar Krkonošská
-170 odchodné
10 dotace "Zlatá popelnice"</t>
        </r>
      </text>
    </comment>
  </commentList>
</comments>
</file>

<file path=xl/comments4.xml><?xml version="1.0" encoding="utf-8"?>
<comments xmlns="http://schemas.openxmlformats.org/spreadsheetml/2006/main">
  <authors>
    <author>Město Jilemnice</author>
    <author>Kynčlová Miroslava, Ing.</author>
    <author>Trojanová Hana, Ing.</author>
  </authors>
  <commentList>
    <comment ref="K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7763 výkup r. 2015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Kynčlová Miroslava, Ing.:
847 náhrada v roce 2019
</t>
        </r>
        <r>
          <rPr>
            <sz val="9"/>
            <color indexed="81"/>
            <rFont val="Tahoma"/>
            <family val="2"/>
            <charset val="238"/>
          </rPr>
          <t xml:space="preserve">
1053 náhrada v roce 2020
284 náhrada v roce 2021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I1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podíl VHS</t>
        </r>
      </text>
    </comment>
    <comment ref="F1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zakázka na 7800 + DPH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46000 podíl LK
7500 chodníky a VO město
5500 kruhový objezd město
4687 dotace VHS kanalizace a voda
1800 projekce
4000 dešť. kanalizace a retenční nádrž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podíl Lib. kraje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VHS kanalizace
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220 projekce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744 kanalizační přípojka</t>
        </r>
      </text>
    </comment>
    <comment ref="Q2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3713 dotace</t>
        </r>
      </text>
    </comment>
    <comment ref="P2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4000 úvěr
</t>
        </r>
      </text>
    </comment>
    <comment ref="Q2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11170+2735 příjem dotace
2000 splátka úvěru</t>
        </r>
      </text>
    </comment>
    <comment ref="R2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splátka úvěru
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prodej pozemků</t>
        </r>
      </text>
    </comment>
    <comment ref="S2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údržba nové výsadby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7998 podíl VHS
12627 podíl VHS II. Etapa</t>
        </r>
      </text>
    </comment>
    <comment ref="I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sankce</t>
        </r>
      </text>
    </comment>
    <comment ref="R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336 sankce</t>
        </r>
      </text>
    </comment>
    <comment ref="I3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8422 podíl VHS</t>
        </r>
      </text>
    </comment>
  </commentList>
</comments>
</file>

<file path=xl/sharedStrings.xml><?xml version="1.0" encoding="utf-8"?>
<sst xmlns="http://schemas.openxmlformats.org/spreadsheetml/2006/main" count="932" uniqueCount="582">
  <si>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</si>
  <si>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</si>
  <si>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</si>
  <si>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</si>
  <si>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</si>
  <si>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</si>
  <si>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</si>
  <si>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</si>
  <si>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</si>
  <si>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</si>
  <si>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</si>
  <si>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</si>
  <si>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</si>
  <si>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</si>
  <si>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</si>
  <si>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</si>
  <si>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</si>
  <si>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</si>
  <si>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</si>
  <si>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</si>
  <si>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</si>
  <si>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</si>
  <si>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</si>
  <si>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</si>
  <si>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</si>
  <si>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</si>
  <si>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</si>
  <si>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</si>
  <si>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</si>
  <si>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</si>
  <si>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</si>
  <si>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</si>
  <si>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</si>
  <si>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</si>
  <si>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</si>
  <si>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</si>
  <si>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</si>
  <si>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</si>
  <si>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</si>
  <si>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</si>
  <si>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</si>
  <si>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</si>
  <si>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</si>
  <si>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</si>
  <si>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</si>
  <si>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</si>
  <si>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</si>
  <si>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</si>
  <si>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</si>
  <si>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</si>
  <si>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</si>
  <si>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</si>
  <si>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</si>
  <si>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</si>
  <si>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</si>
  <si>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</si>
  <si>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</si>
  <si>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</si>
  <si>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</si>
  <si>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</si>
  <si>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</si>
  <si>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</si>
  <si>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</si>
  <si>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</si>
  <si>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</si>
  <si>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</si>
  <si>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</si>
  <si>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</si>
  <si>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</si>
  <si>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Faistauer</t>
  </si>
  <si>
    <t>Doprava,vodovody,kanalizace</t>
  </si>
  <si>
    <t>Kultura, církve a sdělovací  prostř.</t>
  </si>
  <si>
    <t>Vydávání zpravodaje</t>
  </si>
  <si>
    <t>Tělovýchova a zájmová činnost</t>
  </si>
  <si>
    <t>Bydlení, komunální služby a územní rozvoj</t>
  </si>
  <si>
    <t>Bytové hospodářství</t>
  </si>
  <si>
    <t>Veřejné osvětlení- provoz ,opravy</t>
  </si>
  <si>
    <t>Sběr a svoz komun. odpadů</t>
  </si>
  <si>
    <t>Péče o vzhled obcí a veřejnou zeleň</t>
  </si>
  <si>
    <t>Sociální péče</t>
  </si>
  <si>
    <t xml:space="preserve">Obecní policie </t>
  </si>
  <si>
    <t>Státní správa, územní samospráva</t>
  </si>
  <si>
    <t>Místní zastupitelské orgány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</si>
  <si>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</si>
  <si>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</si>
  <si>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</si>
  <si>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</si>
  <si>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</si>
  <si>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</si>
  <si>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</si>
  <si>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</si>
  <si>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</si>
  <si>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</si>
  <si>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</si>
  <si>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</si>
  <si>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</si>
  <si>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</si>
  <si>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</si>
  <si>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</si>
  <si>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</si>
  <si>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</si>
  <si>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</si>
  <si>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</si>
  <si>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</si>
  <si>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</si>
  <si>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</si>
  <si>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</si>
  <si>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</si>
  <si>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</si>
  <si>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</si>
  <si>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</si>
  <si>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</si>
  <si>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</si>
  <si>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>Šnorbert</t>
  </si>
  <si>
    <t xml:space="preserve">Dopravní obslužnost </t>
  </si>
  <si>
    <t>Kompenzace za tříděný odpad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</si>
  <si>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</si>
  <si>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</si>
  <si>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</si>
  <si>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</si>
  <si>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</si>
  <si>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</si>
  <si>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</si>
  <si>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Změna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</si>
  <si>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</si>
  <si>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</si>
  <si>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</si>
  <si>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</si>
  <si>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</si>
  <si>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</si>
  <si>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</si>
  <si>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Pokuty živnost.úřad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</si>
  <si>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</si>
  <si>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</si>
  <si>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</si>
  <si>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</si>
  <si>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</si>
  <si>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</si>
  <si>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</si>
  <si>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</si>
  <si>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</si>
  <si>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</si>
  <si>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</si>
  <si>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</si>
  <si>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</si>
  <si>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</si>
  <si>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</si>
  <si>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Zelinka</t>
  </si>
  <si>
    <t>Augustin</t>
  </si>
  <si>
    <t>Cerman</t>
  </si>
  <si>
    <t>Platby do svazků obcí, sdružení</t>
  </si>
  <si>
    <t>příkazce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</si>
  <si>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</si>
  <si>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</si>
  <si>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</si>
  <si>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</si>
  <si>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</si>
  <si>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</si>
  <si>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</si>
  <si>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Parkovné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</si>
  <si>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</si>
  <si>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</si>
  <si>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</si>
  <si>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</si>
  <si>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</si>
  <si>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Prodej pozemků</t>
  </si>
  <si>
    <t>Prodej nemovitostí - bytů,domů</t>
  </si>
  <si>
    <t xml:space="preserve">Souhrnná neinvestiční dotace 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</si>
  <si>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</si>
  <si>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</si>
  <si>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</si>
  <si>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</si>
  <si>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</si>
  <si>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</si>
  <si>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</si>
  <si>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</si>
  <si>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</si>
  <si>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</si>
  <si>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</si>
  <si>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</si>
  <si>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</si>
  <si>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</si>
  <si>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</si>
  <si>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</si>
  <si>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</si>
  <si>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</si>
  <si>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</si>
  <si>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</si>
  <si>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</si>
  <si>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</si>
  <si>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MŠ Jilemnice - příspěvek na provoz</t>
  </si>
  <si>
    <t>ZŠ Komenského- příspěvek na provoz</t>
  </si>
  <si>
    <t>ZŠ Harracha- příspěvek na provoz</t>
  </si>
  <si>
    <t>skutečnost</t>
  </si>
  <si>
    <t>saldo</t>
  </si>
  <si>
    <t>Aareál služeb</t>
  </si>
  <si>
    <t>služby byty</t>
  </si>
  <si>
    <t>nájemné nebyty</t>
  </si>
  <si>
    <t>služby nebyty</t>
  </si>
  <si>
    <t>Komunální odpad</t>
  </si>
  <si>
    <t>poplatek</t>
  </si>
  <si>
    <t>kompenzace za třídění</t>
  </si>
  <si>
    <t>Provoz veřejných WC</t>
  </si>
  <si>
    <t>Czech Point poplatky</t>
  </si>
  <si>
    <t>Příjmy z věcných břemen pozemků</t>
  </si>
  <si>
    <t>Obnova a zachování kult. hodnot</t>
  </si>
  <si>
    <t>Opravy budov MÚ</t>
  </si>
  <si>
    <t>Právní zastoupení města</t>
  </si>
  <si>
    <t>nájemné byty vč. penále</t>
  </si>
  <si>
    <t>Péče o stromovou zeleň</t>
  </si>
  <si>
    <t>Dětské centrum příspěvek na provoz</t>
  </si>
  <si>
    <t>Platba DPH za ekonomické činnosti</t>
  </si>
  <si>
    <t>Pokuty správní odbor, přestupky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</si>
  <si>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</si>
  <si>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</si>
  <si>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</si>
  <si>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</si>
  <si>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</si>
  <si>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</si>
  <si>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</si>
  <si>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</si>
  <si>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</si>
  <si>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</si>
  <si>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</si>
  <si>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</si>
  <si>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</si>
  <si>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</si>
  <si>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</si>
  <si>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</si>
  <si>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</si>
  <si>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</si>
  <si>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</si>
  <si>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</si>
  <si>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Kozáková</t>
  </si>
  <si>
    <t>šetří se</t>
  </si>
  <si>
    <t>3,14,26</t>
  </si>
  <si>
    <t>Příjmy z úroků ( vč. fondů)</t>
  </si>
  <si>
    <t>Kompostárna - provoz (příspěvek svazku)</t>
  </si>
  <si>
    <t>Jandurová</t>
  </si>
  <si>
    <t>Steinerová</t>
  </si>
  <si>
    <t>3349</t>
  </si>
  <si>
    <t>Kursové rozdíly</t>
  </si>
  <si>
    <t>vč. akcí města</t>
  </si>
  <si>
    <t>dotace MPSV</t>
  </si>
  <si>
    <t>příjmy za služby</t>
  </si>
  <si>
    <t>Vávrová</t>
  </si>
  <si>
    <t>700,701,702</t>
  </si>
  <si>
    <t>Dotace na výkon st. správy -  soc. práci</t>
  </si>
  <si>
    <t>Vébrová</t>
  </si>
  <si>
    <t>RM,ZM</t>
  </si>
  <si>
    <t>700-702</t>
  </si>
  <si>
    <t>Městská policie</t>
  </si>
  <si>
    <t>veř. smlouvy</t>
  </si>
  <si>
    <t>sankční platby</t>
  </si>
  <si>
    <t>Novotná</t>
  </si>
  <si>
    <t>Fűri</t>
  </si>
  <si>
    <t>org</t>
  </si>
  <si>
    <t xml:space="preserve">Dotace LK na pečovatelskou službu </t>
  </si>
  <si>
    <t xml:space="preserve">Pokuty ostatní </t>
  </si>
  <si>
    <t>MMN,a.s. - příplatek mimo zákl. kapitál</t>
  </si>
  <si>
    <t>VHS - příspěvky (úroky k úvěru Čistá Jizera)</t>
  </si>
  <si>
    <t>Šolcová</t>
  </si>
  <si>
    <t>Chodník ul. Roztocká - projekce</t>
  </si>
  <si>
    <t>Bulušek</t>
  </si>
  <si>
    <t>Finanční vypořádání z minulých let</t>
  </si>
  <si>
    <t>Dotace na výkon st. správy - soc. právní ochranu dětí</t>
  </si>
  <si>
    <t>Dotace MK ČR na obnovu památek</t>
  </si>
  <si>
    <t>Nájemné ZŠ Libereckého kraje</t>
  </si>
  <si>
    <t>Služby ZŠ Libereckého kraje</t>
  </si>
  <si>
    <t>Nájemné budovy čp. 259</t>
  </si>
  <si>
    <t>Služby nájemníků čp. 259</t>
  </si>
  <si>
    <t>ZUŠ - příspěvek na provoz, čp. 85</t>
  </si>
  <si>
    <t>Sportovní centrum Jilemnice, s.r.o</t>
  </si>
  <si>
    <t>Nonnerová</t>
  </si>
  <si>
    <t>Lambertová</t>
  </si>
  <si>
    <t>Areál Hraběnka - provoz</t>
  </si>
  <si>
    <t>Daň z hazardních her</t>
  </si>
  <si>
    <t>Splátky úvěrů, dl. závazků</t>
  </si>
  <si>
    <t>13015</t>
  </si>
  <si>
    <t>Služby Hraběnka</t>
  </si>
  <si>
    <t>Grantový program Sport</t>
  </si>
  <si>
    <t>Plán rozvoje sportu - dotace na akce</t>
  </si>
  <si>
    <t>Přijatá náhrada za neplnění úspor z projektu EPC</t>
  </si>
  <si>
    <t>Rekonstrukce MŠ Zámecká</t>
  </si>
  <si>
    <t>Hegrová</t>
  </si>
  <si>
    <t>Příprava území k bytové výstavbě - Nouzov</t>
  </si>
  <si>
    <t>Grantový program Zdravé město</t>
  </si>
  <si>
    <t>Individuální dotace kultura a ost.</t>
  </si>
  <si>
    <t>Individuální dotace tělových. a záj. činnost</t>
  </si>
  <si>
    <t xml:space="preserve">Přijetí  úvěru </t>
  </si>
  <si>
    <t>301, orj. 11</t>
  </si>
  <si>
    <t>Financování soc. služeb v ORP Jilemnice</t>
  </si>
  <si>
    <t>Projekt "MAS Sociání práce v Jilemnici"</t>
  </si>
  <si>
    <t>Veřejnopr. smlouvy soc. služby ORP Jilemnice</t>
  </si>
  <si>
    <t>Veřejnopr. smlouvy pečovatelská služba ORP Jilemnice</t>
  </si>
  <si>
    <t>stejné v příjmech</t>
  </si>
  <si>
    <t>Popl. z pobytu</t>
  </si>
  <si>
    <t>Dotace na projekt "MAS Sociání práce v Jilemnici"</t>
  </si>
  <si>
    <t>včetně ověřování</t>
  </si>
  <si>
    <t>Spořilov - komunikace a kanalizace</t>
  </si>
  <si>
    <t>40 dotace Svazku na podvečery</t>
  </si>
  <si>
    <t>ostatní z GP soc. služeb</t>
  </si>
  <si>
    <t>Charitní taxi</t>
  </si>
  <si>
    <t>Popl. za znečišť. životního  prostř. a odnětí ZPF</t>
  </si>
  <si>
    <t>včetně pouti a SC</t>
  </si>
  <si>
    <t>Udržitelná mobilita - projekt</t>
  </si>
  <si>
    <t>vč. provozu zahr. domku</t>
  </si>
  <si>
    <t>Smuteční síň - studie, projekt</t>
  </si>
  <si>
    <t>Příprava území k bytové výstavbě - Buben</t>
  </si>
  <si>
    <t>přesun z min. let</t>
  </si>
  <si>
    <t>indiv. dotace</t>
  </si>
  <si>
    <t>Otáhalová</t>
  </si>
  <si>
    <t>Vzdělávání</t>
  </si>
  <si>
    <t>Dotace LK a KHK pro DC na sociální služby</t>
  </si>
  <si>
    <t>Použití krizového fondu</t>
  </si>
  <si>
    <t>Poznámka</t>
  </si>
  <si>
    <t>R21/20</t>
  </si>
  <si>
    <t>Most U Jarmary</t>
  </si>
  <si>
    <t>Příjmy místního hospodářství</t>
  </si>
  <si>
    <t>Příjmy ze služeb školního stravování</t>
  </si>
  <si>
    <t>Překladiště odpadů - svazek Jilemnicko</t>
  </si>
  <si>
    <t>Cyklostezka Hraběnka - koupaliště</t>
  </si>
  <si>
    <t>Dotace LK pro komunitní plánování</t>
  </si>
  <si>
    <t xml:space="preserve"> grantový program</t>
  </si>
  <si>
    <t>Rozpočet 22</t>
  </si>
  <si>
    <t>Rozpočet 2022</t>
  </si>
  <si>
    <t>Vratka do fondu rezerv a rozvoje</t>
  </si>
  <si>
    <t>dotace spolku</t>
  </si>
  <si>
    <t xml:space="preserve">příplatek mimo základní kapitál </t>
  </si>
  <si>
    <t>Grant. program ORP</t>
  </si>
  <si>
    <t>Hlaváč</t>
  </si>
  <si>
    <t>5110, orj 240</t>
  </si>
  <si>
    <t>Přijatá náhrada požární ochrana</t>
  </si>
  <si>
    <t>Dotace pro požární ochranu</t>
  </si>
  <si>
    <t>Příspěvek obcím od MF ČR (kompenzační bodnus)</t>
  </si>
  <si>
    <t>veřejn. smlouvy</t>
  </si>
  <si>
    <t>Dotace Mze ČR pro městské lesy</t>
  </si>
  <si>
    <t>22,26,27</t>
  </si>
  <si>
    <t>Vratka dotací z  min. roku</t>
  </si>
  <si>
    <t>v r. 2021 prominuto</t>
  </si>
  <si>
    <r>
      <t>Tr</t>
    </r>
    <r>
      <rPr>
        <sz val="8"/>
        <rFont val="Calibri"/>
        <family val="2"/>
        <charset val="238"/>
      </rPr>
      <t>ö</t>
    </r>
    <r>
      <rPr>
        <sz val="8"/>
        <rFont val="Arial CE"/>
        <family val="2"/>
        <charset val="238"/>
      </rPr>
      <t>merová</t>
    </r>
  </si>
  <si>
    <t>Dotace LK pro požární ochranu</t>
  </si>
  <si>
    <t>22,25,26</t>
  </si>
  <si>
    <t>Zpracování lesních hospodářských osnov</t>
  </si>
  <si>
    <t>Informační systém a mobilní rozhlas</t>
  </si>
  <si>
    <t>Nájemné PO města - DC</t>
  </si>
  <si>
    <t>5213, 5272</t>
  </si>
  <si>
    <t xml:space="preserve"> </t>
  </si>
  <si>
    <t>Radarový systém</t>
  </si>
  <si>
    <t>do roku 2028</t>
  </si>
  <si>
    <t>Příjmy z úroků prodej akcií LK</t>
  </si>
  <si>
    <t>Prodej akcií LK - splátka</t>
  </si>
  <si>
    <t>Knihovna - vybavení</t>
  </si>
  <si>
    <t>Pokuty dopravní - radary</t>
  </si>
  <si>
    <t>Přijaté náhrady - lesní osnovy</t>
  </si>
  <si>
    <t>Trojanová</t>
  </si>
  <si>
    <t>Zámecký park - studie, podium</t>
  </si>
  <si>
    <t>Jerychová</t>
  </si>
  <si>
    <t>Dotace LK - Evropský týden mobility v Jilemnici</t>
  </si>
  <si>
    <t>227, 229</t>
  </si>
  <si>
    <t>Příjem ze zrušených poplatků, vstupné</t>
  </si>
  <si>
    <t>13,14,33,32</t>
  </si>
  <si>
    <t>Workoutové hřiště-Hraběnka</t>
  </si>
  <si>
    <t>Provoz, oprava čp. 259 (staré gymnázium)</t>
  </si>
  <si>
    <t>Cyklostezka Jilem-Mart</t>
  </si>
  <si>
    <t>Příjmy z úroků - z poskytn. půjček, dividend</t>
  </si>
  <si>
    <t>akce města u SPOZ, kniha Jilemnice</t>
  </si>
  <si>
    <t>Starý Nouzov</t>
  </si>
  <si>
    <t>Knihovna součástí SD Jilm</t>
  </si>
  <si>
    <t>zvýšení ceny el. energie</t>
  </si>
  <si>
    <t>dle spl. kalendáře do 2035</t>
  </si>
  <si>
    <t>Rekonst. a výstavba děts.parků a hřišť</t>
  </si>
  <si>
    <t>Financování (vyrovnání rozdílu příjmy - výdaje):</t>
  </si>
  <si>
    <t>Příjmy - výdaje:</t>
  </si>
  <si>
    <t>Výdaje:</t>
  </si>
  <si>
    <t>Sk:</t>
  </si>
  <si>
    <t>Příjmy:</t>
  </si>
  <si>
    <t>:)</t>
  </si>
  <si>
    <t>úrok dle spl. kalend. do r. 2026</t>
  </si>
  <si>
    <t>Příjmy - výdaje = - financování</t>
  </si>
  <si>
    <t>v tis. Kč</t>
  </si>
  <si>
    <t xml:space="preserve">SC,s.r.o -obnova a investice sport. zařízení </t>
  </si>
  <si>
    <t>13024</t>
  </si>
  <si>
    <t>Prodej knihy Jilemnice</t>
  </si>
  <si>
    <t>Rozpočet 23</t>
  </si>
  <si>
    <t>1.Q.2022</t>
  </si>
  <si>
    <t>2.Q.2022</t>
  </si>
  <si>
    <t>3.Q.2022</t>
  </si>
  <si>
    <t>4.Q.2022</t>
  </si>
  <si>
    <t>2022</t>
  </si>
  <si>
    <t>Čerpání 1.Q.2022</t>
  </si>
  <si>
    <t>Čerpání 2.Q.2022</t>
  </si>
  <si>
    <t>Čerpání 3.Q.2022</t>
  </si>
  <si>
    <t>Rozpočet 2023</t>
  </si>
  <si>
    <t>rozp. 2023/</t>
  </si>
  <si>
    <t>rozp. 2022</t>
  </si>
  <si>
    <t>R23/22</t>
  </si>
  <si>
    <t>Komunikace Hanče a Vrbaty - rekonstrukce</t>
  </si>
  <si>
    <t>smlouva od r. 2020 do r. 2023</t>
  </si>
  <si>
    <t>Ostatní přijaté vratky transferů</t>
  </si>
  <si>
    <t>Dotace LK pro školy potravinová pomoc</t>
  </si>
  <si>
    <t xml:space="preserve">Přijaté příspěvky a náhrady </t>
  </si>
  <si>
    <t>13,14,19,27,314</t>
  </si>
  <si>
    <t>62,63,64</t>
  </si>
  <si>
    <t>Humanitární zahraniční pomoc přímá</t>
  </si>
  <si>
    <t>120113014</t>
  </si>
  <si>
    <t>Návratná fin.výp. 2 projekty pro SD Jilm</t>
  </si>
  <si>
    <t>nově DPH</t>
  </si>
  <si>
    <t>Dar Investiční - NF Škoda auto</t>
  </si>
  <si>
    <t>Projekty do 60000 /nad 60000</t>
  </si>
  <si>
    <t>Autobusové nádraží - oprava, pronájem</t>
  </si>
  <si>
    <t>org./orj.</t>
  </si>
  <si>
    <t>5103, orj. 51</t>
  </si>
  <si>
    <t>5103, orj.220</t>
  </si>
  <si>
    <t>314,911,43</t>
  </si>
  <si>
    <t>k upr.rozpočtu</t>
  </si>
  <si>
    <t>Műllerová, Šnorbert - investice</t>
  </si>
  <si>
    <t>Dotace na projekt Podpora přecházení vzniku odpadů</t>
  </si>
  <si>
    <t>Dotace MMR - nákup elektromobilu</t>
  </si>
  <si>
    <t>Dotace MŠMT pro ZŠ Harr - adaptační skupiny</t>
  </si>
  <si>
    <t>Dotace LK na památky - ohradní zeď park</t>
  </si>
  <si>
    <t>Dotace LK na památky - Památka roku 2021</t>
  </si>
  <si>
    <t>k 30. 9. 22 herna zrušena</t>
  </si>
  <si>
    <t>Přijaté z LK - Pomoc Ukrajině</t>
  </si>
  <si>
    <t>Dotace pro MŠ - polyt. vzděl.</t>
  </si>
  <si>
    <t>vratky dotací</t>
  </si>
  <si>
    <t>143133092,143533092</t>
  </si>
  <si>
    <t>Dotace pro MŠ - projekt Vzdělávání</t>
  </si>
  <si>
    <t>2 projekty spolupráce vratky 2024</t>
  </si>
  <si>
    <t>rok 2023 vyúčtování, vratka přes 6402</t>
  </si>
  <si>
    <t>Dotace na projekt Modernizace zařízení pro sběr kom. odpadů</t>
  </si>
  <si>
    <t>ukončen</t>
  </si>
  <si>
    <t>splaceno</t>
  </si>
  <si>
    <t>ZŠ Harracha - projekt IROP/ opravy podlah</t>
  </si>
  <si>
    <t>Komunikace Na Drahách a Na Žuliánce - rekonstrukce</t>
  </si>
  <si>
    <t>5103, orj 202</t>
  </si>
  <si>
    <t>Paulů</t>
  </si>
  <si>
    <r>
      <t xml:space="preserve">MĚSTO JILEMNICE -  </t>
    </r>
    <r>
      <rPr>
        <b/>
        <sz val="13"/>
        <rFont val="Arial CE"/>
        <charset val="238"/>
      </rPr>
      <t>Rozpočet 2022 -  Hospodaření 2022</t>
    </r>
    <r>
      <rPr>
        <b/>
        <sz val="14"/>
        <rFont val="Arial CE"/>
        <family val="2"/>
        <charset val="238"/>
      </rPr>
      <t xml:space="preserve"> - Rozpočet 2023 - sumář</t>
    </r>
  </si>
  <si>
    <t>dokončeno 2023</t>
  </si>
  <si>
    <t>Neumannová</t>
  </si>
  <si>
    <t>Dotace na volby obecní / volba prezidenta</t>
  </si>
  <si>
    <t>Horáček</t>
  </si>
  <si>
    <t>Nouzov komunikace - rekonstrukce (projekce)</t>
  </si>
  <si>
    <t>Dopravní bezpečnost - výsuvné zábrany</t>
  </si>
  <si>
    <t>Podsedníčková</t>
  </si>
  <si>
    <t>změna ÚP pro celé ORP</t>
  </si>
  <si>
    <t xml:space="preserve">automaty </t>
  </si>
  <si>
    <t>MŠ a DC čp. 94 vzduchotechnika a FVE</t>
  </si>
  <si>
    <t>Dotace z MPO - zprac. analýzy vhodnosti EPC projektu</t>
  </si>
  <si>
    <t>Dotace na projekt pro SDJilm</t>
  </si>
  <si>
    <t>Dotace "Zlatá popelnice"</t>
  </si>
  <si>
    <t>3,4,6,8</t>
  </si>
  <si>
    <t>Sankční platby od jiných. osob</t>
  </si>
  <si>
    <t>314,230</t>
  </si>
  <si>
    <t>Odvody přípspěvkové organizace</t>
  </si>
  <si>
    <t>2122, 2123</t>
  </si>
  <si>
    <t>Rezerva zateplení odvod / MŠ a ZŠ soud</t>
  </si>
  <si>
    <t>Hospodaření  2022</t>
  </si>
  <si>
    <t>Skutečnost</t>
  </si>
  <si>
    <t>S22-R22</t>
  </si>
  <si>
    <t>vyrovnávací platba, pověření do 2027</t>
  </si>
  <si>
    <t>Doplatek za volby</t>
  </si>
  <si>
    <t>Jílková</t>
  </si>
  <si>
    <t>Au</t>
  </si>
  <si>
    <t>2020-2022</t>
  </si>
  <si>
    <t>realizováno</t>
  </si>
  <si>
    <t>město Jilemnice</t>
  </si>
  <si>
    <t>N</t>
  </si>
  <si>
    <t>Opravy budov škol - střecha čp.101,103</t>
  </si>
  <si>
    <t>Šn</t>
  </si>
  <si>
    <t>financování s VHS</t>
  </si>
  <si>
    <t>2019-2022</t>
  </si>
  <si>
    <t>spolupráce s VHS</t>
  </si>
  <si>
    <t>I,N</t>
  </si>
  <si>
    <t>Spořilov- komunikace,kanalizace, vodovod</t>
  </si>
  <si>
    <t>2015-2022</t>
  </si>
  <si>
    <t>I</t>
  </si>
  <si>
    <t>Infrastruktura pro bytovou výstavbu (Nouzov)</t>
  </si>
  <si>
    <t>No</t>
  </si>
  <si>
    <t>2019-21</t>
  </si>
  <si>
    <t>ukončeno</t>
  </si>
  <si>
    <t>MMR ČR</t>
  </si>
  <si>
    <t>Sociální byty (čp. 70)</t>
  </si>
  <si>
    <t>R</t>
  </si>
  <si>
    <t>2017-19</t>
  </si>
  <si>
    <t>IROP- výzva MAS</t>
  </si>
  <si>
    <t xml:space="preserve">Rekonstrukce čp.64 - rozvoj soc. služeb </t>
  </si>
  <si>
    <t>spolupr. s VHS a LK</t>
  </si>
  <si>
    <t>2015-19</t>
  </si>
  <si>
    <t>investor LK, Jil. podíl na VO, chodnících</t>
  </si>
  <si>
    <t>Žižkova ulice a kruhový objezd - podíl Jilemnice</t>
  </si>
  <si>
    <t>vl. podíl</t>
  </si>
  <si>
    <t>přijatá dotace</t>
  </si>
  <si>
    <t>výše projektu</t>
  </si>
  <si>
    <t>Celkem</t>
  </si>
  <si>
    <t>příprava soutěže, žádost o dotaci</t>
  </si>
  <si>
    <t>2019-2024</t>
  </si>
  <si>
    <t>soutěž na dodavatele</t>
  </si>
  <si>
    <t>realizace</t>
  </si>
  <si>
    <t>Rej</t>
  </si>
  <si>
    <t>dotace dojde 2023</t>
  </si>
  <si>
    <t>Elektromobil pro Pečovatelskou službu</t>
  </si>
  <si>
    <t>2021-</t>
  </si>
  <si>
    <t>zpracování dokumentace</t>
  </si>
  <si>
    <t>Propojení areálu Hraběnka a městského koupaliště cyklostezkou a cyklotrasou</t>
  </si>
  <si>
    <t>Smuteční síň</t>
  </si>
  <si>
    <t>2019-</t>
  </si>
  <si>
    <t>SC, s.r.o</t>
  </si>
  <si>
    <t>Přírodní koupaliště</t>
  </si>
  <si>
    <t>2020-2021</t>
  </si>
  <si>
    <t>projekt OPŽP</t>
  </si>
  <si>
    <t>Obnova retenční nádrže nad školou</t>
  </si>
  <si>
    <t>úvěr 4mil Kč splaceno 2022</t>
  </si>
  <si>
    <t>2019-2020</t>
  </si>
  <si>
    <t>projekt IROP</t>
  </si>
  <si>
    <t>ZŠ Harracha - projekt IROP</t>
  </si>
  <si>
    <t>Šo</t>
  </si>
  <si>
    <t>dotace svazku</t>
  </si>
  <si>
    <t>2021-2022</t>
  </si>
  <si>
    <t>nákup investice</t>
  </si>
  <si>
    <t>2018-2026</t>
  </si>
  <si>
    <t>realizace, od r. 2018 splácení</t>
  </si>
  <si>
    <t>Projekt EPC</t>
  </si>
  <si>
    <t>2022-2023</t>
  </si>
  <si>
    <t>Komunikace Hanče a Vrbaty - rekonstrukce, veř. osvětlení</t>
  </si>
  <si>
    <t>2017-</t>
  </si>
  <si>
    <t>zadání proj. dokumentace</t>
  </si>
  <si>
    <t>Chodník ulice Roztocká</t>
  </si>
  <si>
    <t>územní rozhodnutí</t>
  </si>
  <si>
    <t>Infrastruktura pro bytovou výstavbu Buben</t>
  </si>
  <si>
    <t xml:space="preserve"> do r.2015</t>
  </si>
  <si>
    <t>příjmy</t>
  </si>
  <si>
    <t>Program</t>
  </si>
  <si>
    <t>Vlastní podíl v letech</t>
  </si>
  <si>
    <t>Realizace v letech</t>
  </si>
  <si>
    <t>Podíl ostatní</t>
  </si>
  <si>
    <t xml:space="preserve">Předpokl. vlastní podíl </t>
  </si>
  <si>
    <t>Předpokl.  Dotace</t>
  </si>
  <si>
    <t xml:space="preserve"> Předpokl. výše projektu</t>
  </si>
  <si>
    <t xml:space="preserve">Od koho se žádá </t>
  </si>
  <si>
    <t>Kdo žádá</t>
  </si>
  <si>
    <t>Název projektu</t>
  </si>
  <si>
    <t>Informace k 30.1.2023</t>
  </si>
  <si>
    <t>Realizované, podané či připravované projekty města Jilemnice</t>
  </si>
  <si>
    <t>Závazné ukazatele rozpočtu na rok 2023</t>
  </si>
  <si>
    <t>Zůstatek z min. roků</t>
  </si>
  <si>
    <t>výdaje</t>
  </si>
  <si>
    <t>Okruhy rozpočtu 2023 u vybraných částí</t>
  </si>
  <si>
    <t>Volby do ZM / prezidenta</t>
  </si>
  <si>
    <t>Dotace na LHP v ORP, Obnova krajiny</t>
  </si>
  <si>
    <t>Obnova ohradní zdi</t>
  </si>
  <si>
    <t>Zůstatek z depozitního účtu z r. 2021/2022</t>
  </si>
  <si>
    <t>Návrh rozpočtu na rok  2023 projednán a doporučen ve vedení města 24. 1. 2023.</t>
  </si>
  <si>
    <t>Projekt EPC  / en. management</t>
  </si>
  <si>
    <t>stropy a podlahy ZŠ Harracha</t>
  </si>
  <si>
    <t>z toho 328 dotace na sportoviště</t>
  </si>
  <si>
    <t>z toho 158 dotace na sportoviště</t>
  </si>
  <si>
    <t>schváleno ZM 14.12.22</t>
  </si>
  <si>
    <t>saldo SBD celkem 6 mil</t>
  </si>
  <si>
    <t>soutěž  2023-2026</t>
  </si>
  <si>
    <t>Stravovadlo - Primirest, ZŠ</t>
  </si>
  <si>
    <t>Proj. Pořízení dom. kompostérů/ moderniz. systému pro separaci</t>
  </si>
  <si>
    <t xml:space="preserve">Investiční / Nein. </t>
  </si>
  <si>
    <t xml:space="preserve">Stav </t>
  </si>
  <si>
    <t>Ukončené projekty po roce 2020:</t>
  </si>
  <si>
    <t>Projekt EPC dodatečná opatření</t>
  </si>
  <si>
    <t>návrh dodat. opatření</t>
  </si>
  <si>
    <t>Komunikace Na Drahách a Na Žuliánce - rekonstrukce 1.etapa</t>
  </si>
  <si>
    <t>MĚSTO JILEMNICE -   Rozpočet 2022 -  Hospodaření 2022 - Rozpočet 2023 - výdaje</t>
  </si>
  <si>
    <t>MĚSTO JILEMNICE -  Rozpočet 2022 -  Hospodaření 2022 - Rozpočet 2023 - příjmy</t>
  </si>
  <si>
    <t>MĚSTO JILEMNICE -  Rozpočet 2023</t>
  </si>
  <si>
    <t>Ing. Hana Trojanová</t>
  </si>
  <si>
    <t>vedoucí finančního odboru</t>
  </si>
  <si>
    <t>V elektronické podobě vyvěšeno od 14. 2. 2023</t>
  </si>
  <si>
    <t>V Jilemnici 14. 2. 2023</t>
  </si>
  <si>
    <t>Určeno k vyvěšení a projednání v ZM dne 1. 3. 2023.</t>
  </si>
  <si>
    <t>Návrh rozpočtu na rok 2023 projednán a doporučen FV dne 30. 1. 2023.</t>
  </si>
  <si>
    <t>dle rozpisu správa</t>
  </si>
  <si>
    <t>Cyklostezka Martinice - koupaliště</t>
  </si>
  <si>
    <t>45 SKI - úprava lyž. tratí</t>
  </si>
  <si>
    <t>mzdy,služby, materiál, výdaje IT, SPOD, soc.práce</t>
  </si>
  <si>
    <t>Přebytek z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</si>
</sst>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#,##0.0"/>
    <numFmt numFmtId="165" formatCode="0.0"/>
    <numFmt numFmtId="166" formatCode="#,##0.000000"/>
    <numFmt numFmtId="167" formatCode="#,##0.00000"/>
    <numFmt numFmtId="168" formatCode="#,##0.000"/>
    <numFmt numFmtId="169" formatCode="0.0%"/>
    <numFmt numFmtId="170" formatCode="#,##0_ ;[Red]\-#,##0\ "/>
    <numFmt numFmtId="171" formatCode="d/m/yy;@"/>
    <numFmt numFmtId="172" formatCode="#,##0.0000"/>
    <numFmt numFmtId="173" formatCode="#,##0.0_ ;[Red]\-#,##0.0\ "/>
    <numFmt numFmtId="174" formatCode="#,##0.00_ ;[Red]\-#,##0.00\ "/>
    <numFmt numFmtId="175" formatCode="#,##0.00000000"/>
    <numFmt numFmtId="176" formatCode="0.000"/>
    <numFmt numFmtId="177" formatCode="0.00000"/>
    <numFmt numFmtId="178" formatCode="#,##0.0000000"/>
    <numFmt numFmtId="179" formatCode="0.0000"/>
    <numFmt numFmtId="180" formatCode="#,##0.00000_ ;[Red]\-#,##0.00000\ "/>
    <numFmt numFmtId="181" formatCode="#,##0.000000_ ;[Red]\-#,##0.000000\ 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7"/>
      <color indexed="8"/>
      <name val="Arial CE"/>
      <family val="2"/>
      <charset val="238"/>
    </font>
    <font>
      <sz val="9"/>
      <name val="Arial CE"/>
      <family val="2"/>
      <charset val="238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7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7"/>
      <name val="Arial CE"/>
      <charset val="238"/>
    </font>
    <font>
      <sz val="14"/>
      <color theme="0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7"/>
      <color theme="4"/>
      <name val="Arial CE"/>
      <charset val="238"/>
    </font>
    <font>
      <sz val="10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sz val="6"/>
      <name val="Arial CE"/>
      <family val="2"/>
      <charset val="238"/>
    </font>
    <font>
      <sz val="6"/>
      <name val="Arial CE"/>
      <charset val="238"/>
    </font>
    <font>
      <b/>
      <sz val="6"/>
      <color indexed="8"/>
      <name val="Arial CE"/>
      <family val="2"/>
      <charset val="238"/>
    </font>
    <font>
      <b/>
      <sz val="7"/>
      <name val="Arial CE"/>
      <family val="2"/>
      <charset val="238"/>
    </font>
    <font>
      <sz val="5"/>
      <name val="Arial CE"/>
      <family val="2"/>
      <charset val="238"/>
    </font>
    <font>
      <b/>
      <sz val="7"/>
      <color indexed="8"/>
      <name val="Arial CE"/>
      <family val="2"/>
      <charset val="238"/>
    </font>
    <font>
      <i/>
      <sz val="7"/>
      <color indexed="8"/>
      <name val="Arial CE"/>
      <family val="2"/>
      <charset val="238"/>
    </font>
    <font>
      <i/>
      <sz val="7"/>
      <name val="Arial CE"/>
      <family val="2"/>
      <charset val="238"/>
    </font>
    <font>
      <i/>
      <sz val="8"/>
      <color indexed="8"/>
      <name val="Arial CE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family val="2"/>
      <charset val="238"/>
    </font>
    <font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3" fillId="0" borderId="0"/>
    <xf numFmtId="9" fontId="1" fillId="0" borderId="0" applyFont="0" applyFill="0" applyBorder="0" applyAlignment="0" applyProtection="0"/>
    <xf numFmtId="0" fontId="39" fillId="0" borderId="0"/>
  </cellStyleXfs>
  <cellXfs count="60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3" fontId="5" fillId="0" borderId="10" xfId="0" applyNumberFormat="1" applyFont="1" applyBorder="1"/>
    <xf numFmtId="3" fontId="4" fillId="0" borderId="10" xfId="0" applyNumberFormat="1" applyFont="1" applyBorder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4" fillId="0" borderId="12" xfId="0" applyFont="1" applyBorder="1"/>
    <xf numFmtId="0" fontId="4" fillId="0" borderId="5" xfId="0" applyFont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/>
    <xf numFmtId="0" fontId="6" fillId="0" borderId="10" xfId="0" applyFont="1" applyBorder="1"/>
    <xf numFmtId="0" fontId="5" fillId="0" borderId="13" xfId="0" applyFont="1" applyBorder="1"/>
    <xf numFmtId="0" fontId="4" fillId="0" borderId="0" xfId="0" applyFont="1"/>
    <xf numFmtId="0" fontId="4" fillId="0" borderId="17" xfId="0" applyFont="1" applyBorder="1"/>
    <xf numFmtId="3" fontId="5" fillId="0" borderId="9" xfId="0" applyNumberFormat="1" applyFont="1" applyBorder="1"/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3" fontId="5" fillId="0" borderId="8" xfId="0" applyNumberFormat="1" applyFont="1" applyBorder="1"/>
    <xf numFmtId="3" fontId="4" fillId="0" borderId="20" xfId="0" applyNumberFormat="1" applyFont="1" applyBorder="1"/>
    <xf numFmtId="3" fontId="4" fillId="0" borderId="12" xfId="0" applyNumberFormat="1" applyFont="1" applyBorder="1"/>
    <xf numFmtId="3" fontId="4" fillId="0" borderId="21" xfId="0" applyNumberFormat="1" applyFont="1" applyBorder="1"/>
    <xf numFmtId="3" fontId="5" fillId="0" borderId="22" xfId="0" applyNumberFormat="1" applyFont="1" applyBorder="1"/>
    <xf numFmtId="0" fontId="5" fillId="0" borderId="9" xfId="0" applyFont="1" applyBorder="1"/>
    <xf numFmtId="3" fontId="5" fillId="0" borderId="23" xfId="0" applyNumberFormat="1" applyFont="1" applyBorder="1"/>
    <xf numFmtId="3" fontId="5" fillId="0" borderId="13" xfId="0" applyNumberFormat="1" applyFont="1" applyBorder="1"/>
    <xf numFmtId="0" fontId="5" fillId="0" borderId="22" xfId="0" applyFont="1" applyBorder="1"/>
    <xf numFmtId="3" fontId="5" fillId="0" borderId="0" xfId="0" applyNumberFormat="1" applyFont="1"/>
    <xf numFmtId="0" fontId="4" fillId="0" borderId="2" xfId="0" applyFont="1" applyBorder="1"/>
    <xf numFmtId="3" fontId="6" fillId="0" borderId="7" xfId="0" applyNumberFormat="1" applyFont="1" applyBorder="1"/>
    <xf numFmtId="3" fontId="10" fillId="0" borderId="10" xfId="0" applyNumberFormat="1" applyFont="1" applyBorder="1" applyAlignment="1">
      <alignment horizontal="right"/>
    </xf>
    <xf numFmtId="0" fontId="3" fillId="0" borderId="25" xfId="0" applyFont="1" applyBorder="1"/>
    <xf numFmtId="0" fontId="3" fillId="0" borderId="26" xfId="0" applyFont="1" applyBorder="1"/>
    <xf numFmtId="3" fontId="5" fillId="0" borderId="26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0" fontId="5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3" fontId="16" fillId="0" borderId="10" xfId="0" applyNumberFormat="1" applyFont="1" applyBorder="1"/>
    <xf numFmtId="3" fontId="3" fillId="0" borderId="10" xfId="0" applyNumberFormat="1" applyFont="1" applyBorder="1"/>
    <xf numFmtId="0" fontId="16" fillId="0" borderId="0" xfId="0" applyFont="1"/>
    <xf numFmtId="0" fontId="4" fillId="0" borderId="19" xfId="0" applyFont="1" applyBorder="1"/>
    <xf numFmtId="0" fontId="5" fillId="0" borderId="28" xfId="0" applyFont="1" applyBorder="1"/>
    <xf numFmtId="0" fontId="16" fillId="0" borderId="9" xfId="0" applyFont="1" applyBorder="1"/>
    <xf numFmtId="164" fontId="16" fillId="0" borderId="0" xfId="0" applyNumberFormat="1" applyFont="1"/>
    <xf numFmtId="0" fontId="15" fillId="0" borderId="0" xfId="0" applyFont="1"/>
    <xf numFmtId="3" fontId="16" fillId="0" borderId="0" xfId="0" applyNumberFormat="1" applyFont="1"/>
    <xf numFmtId="0" fontId="5" fillId="0" borderId="14" xfId="0" applyFont="1" applyBorder="1"/>
    <xf numFmtId="0" fontId="16" fillId="0" borderId="4" xfId="0" applyFont="1" applyBorder="1"/>
    <xf numFmtId="0" fontId="4" fillId="0" borderId="29" xfId="0" applyFont="1" applyBorder="1"/>
    <xf numFmtId="0" fontId="4" fillId="0" borderId="1" xfId="0" applyFont="1" applyBorder="1"/>
    <xf numFmtId="0" fontId="4" fillId="0" borderId="20" xfId="0" applyFont="1" applyBorder="1"/>
    <xf numFmtId="0" fontId="16" fillId="0" borderId="22" xfId="0" applyFont="1" applyBorder="1"/>
    <xf numFmtId="0" fontId="5" fillId="0" borderId="30" xfId="0" applyFont="1" applyBorder="1"/>
    <xf numFmtId="168" fontId="16" fillId="0" borderId="0" xfId="0" applyNumberFormat="1" applyFont="1"/>
    <xf numFmtId="3" fontId="16" fillId="0" borderId="0" xfId="0" applyNumberFormat="1" applyFont="1" applyAlignment="1">
      <alignment horizontal="right"/>
    </xf>
    <xf numFmtId="0" fontId="4" fillId="0" borderId="3" xfId="0" applyFont="1" applyBorder="1"/>
    <xf numFmtId="0" fontId="3" fillId="0" borderId="2" xfId="0" applyFont="1" applyBorder="1"/>
    <xf numFmtId="0" fontId="4" fillId="0" borderId="34" xfId="0" applyFont="1" applyBorder="1" applyAlignment="1">
      <alignment horizontal="center"/>
    </xf>
    <xf numFmtId="3" fontId="4" fillId="0" borderId="3" xfId="0" applyNumberFormat="1" applyFont="1" applyBorder="1"/>
    <xf numFmtId="3" fontId="5" fillId="0" borderId="5" xfId="0" applyNumberFormat="1" applyFont="1" applyBorder="1"/>
    <xf numFmtId="3" fontId="4" fillId="0" borderId="30" xfId="0" applyNumberFormat="1" applyFont="1" applyBorder="1"/>
    <xf numFmtId="3" fontId="6" fillId="0" borderId="9" xfId="0" applyNumberFormat="1" applyFont="1" applyBorder="1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0" borderId="36" xfId="0" applyFont="1" applyBorder="1"/>
    <xf numFmtId="0" fontId="3" fillId="0" borderId="35" xfId="0" applyFont="1" applyBorder="1"/>
    <xf numFmtId="0" fontId="3" fillId="0" borderId="37" xfId="0" applyFont="1" applyBorder="1"/>
    <xf numFmtId="0" fontId="16" fillId="0" borderId="38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right"/>
    </xf>
    <xf numFmtId="49" fontId="16" fillId="0" borderId="38" xfId="0" applyNumberFormat="1" applyFont="1" applyBorder="1" applyAlignment="1">
      <alignment horizontal="right"/>
    </xf>
    <xf numFmtId="0" fontId="16" fillId="0" borderId="37" xfId="0" applyFont="1" applyBorder="1"/>
    <xf numFmtId="4" fontId="5" fillId="0" borderId="0" xfId="0" applyNumberFormat="1" applyFont="1"/>
    <xf numFmtId="0" fontId="6" fillId="0" borderId="0" xfId="0" applyFont="1"/>
    <xf numFmtId="164" fontId="8" fillId="0" borderId="0" xfId="0" applyNumberFormat="1" applyFont="1"/>
    <xf numFmtId="168" fontId="1" fillId="0" borderId="0" xfId="0" applyNumberFormat="1" applyFont="1"/>
    <xf numFmtId="168" fontId="6" fillId="0" borderId="0" xfId="0" applyNumberFormat="1" applyFont="1"/>
    <xf numFmtId="3" fontId="4" fillId="0" borderId="47" xfId="0" applyNumberFormat="1" applyFont="1" applyBorder="1"/>
    <xf numFmtId="170" fontId="10" fillId="2" borderId="15" xfId="0" applyNumberFormat="1" applyFont="1" applyFill="1" applyBorder="1" applyAlignment="1">
      <alignment horizontal="right"/>
    </xf>
    <xf numFmtId="9" fontId="4" fillId="0" borderId="4" xfId="2" applyFont="1" applyFill="1" applyBorder="1" applyAlignment="1" applyProtection="1">
      <alignment horizontal="left"/>
    </xf>
    <xf numFmtId="0" fontId="4" fillId="0" borderId="26" xfId="0" applyFont="1" applyBorder="1" applyAlignment="1">
      <alignment horizontal="center"/>
    </xf>
    <xf numFmtId="3" fontId="6" fillId="0" borderId="0" xfId="0" applyNumberFormat="1" applyFont="1"/>
    <xf numFmtId="0" fontId="4" fillId="0" borderId="53" xfId="0" applyFont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4" fontId="6" fillId="0" borderId="0" xfId="0" applyNumberFormat="1" applyFont="1"/>
    <xf numFmtId="4" fontId="16" fillId="0" borderId="0" xfId="0" applyNumberFormat="1" applyFont="1"/>
    <xf numFmtId="3" fontId="0" fillId="0" borderId="0" xfId="0" applyNumberFormat="1"/>
    <xf numFmtId="1" fontId="4" fillId="2" borderId="31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170" fontId="10" fillId="2" borderId="18" xfId="0" applyNumberFormat="1" applyFont="1" applyFill="1" applyBorder="1" applyAlignment="1">
      <alignment horizontal="right"/>
    </xf>
    <xf numFmtId="0" fontId="25" fillId="0" borderId="22" xfId="0" applyFont="1" applyBorder="1"/>
    <xf numFmtId="0" fontId="25" fillId="0" borderId="0" xfId="0" applyFont="1"/>
    <xf numFmtId="1" fontId="5" fillId="0" borderId="10" xfId="0" applyNumberFormat="1" applyFont="1" applyBorder="1"/>
    <xf numFmtId="172" fontId="4" fillId="0" borderId="10" xfId="0" applyNumberFormat="1" applyFont="1" applyBorder="1"/>
    <xf numFmtId="172" fontId="5" fillId="0" borderId="0" xfId="0" applyNumberFormat="1" applyFont="1"/>
    <xf numFmtId="4" fontId="4" fillId="0" borderId="51" xfId="0" applyNumberFormat="1" applyFont="1" applyBorder="1" applyAlignment="1">
      <alignment horizontal="center"/>
    </xf>
    <xf numFmtId="0" fontId="6" fillId="0" borderId="8" xfId="0" applyFont="1" applyBorder="1"/>
    <xf numFmtId="3" fontId="7" fillId="0" borderId="0" xfId="0" applyNumberFormat="1" applyFont="1"/>
    <xf numFmtId="168" fontId="0" fillId="0" borderId="0" xfId="0" applyNumberFormat="1"/>
    <xf numFmtId="164" fontId="5" fillId="0" borderId="7" xfId="0" applyNumberFormat="1" applyFont="1" applyBorder="1"/>
    <xf numFmtId="168" fontId="5" fillId="0" borderId="0" xfId="0" applyNumberFormat="1" applyFont="1"/>
    <xf numFmtId="170" fontId="16" fillId="0" borderId="0" xfId="0" applyNumberFormat="1" applyFont="1"/>
    <xf numFmtId="0" fontId="28" fillId="0" borderId="0" xfId="0" applyFont="1"/>
    <xf numFmtId="3" fontId="27" fillId="0" borderId="9" xfId="0" applyNumberFormat="1" applyFont="1" applyBorder="1" applyProtection="1">
      <protection locked="0"/>
    </xf>
    <xf numFmtId="167" fontId="0" fillId="0" borderId="0" xfId="0" applyNumberFormat="1"/>
    <xf numFmtId="167" fontId="4" fillId="0" borderId="26" xfId="0" applyNumberFormat="1" applyFont="1" applyBorder="1" applyAlignment="1">
      <alignment horizontal="center"/>
    </xf>
    <xf numFmtId="167" fontId="5" fillId="0" borderId="0" xfId="0" applyNumberFormat="1" applyFont="1"/>
    <xf numFmtId="167" fontId="16" fillId="0" borderId="0" xfId="0" applyNumberFormat="1" applyFont="1"/>
    <xf numFmtId="3" fontId="3" fillId="0" borderId="0" xfId="0" applyNumberFormat="1" applyFont="1"/>
    <xf numFmtId="3" fontId="28" fillId="0" borderId="0" xfId="0" applyNumberFormat="1" applyFont="1"/>
    <xf numFmtId="3" fontId="4" fillId="5" borderId="6" xfId="0" applyNumberFormat="1" applyFont="1" applyFill="1" applyBorder="1" applyAlignment="1">
      <alignment horizontal="center"/>
    </xf>
    <xf numFmtId="3" fontId="4" fillId="5" borderId="8" xfId="0" applyNumberFormat="1" applyFont="1" applyFill="1" applyBorder="1"/>
    <xf numFmtId="3" fontId="5" fillId="5" borderId="8" xfId="0" applyNumberFormat="1" applyFont="1" applyFill="1" applyBorder="1"/>
    <xf numFmtId="3" fontId="4" fillId="5" borderId="3" xfId="0" applyNumberFormat="1" applyFont="1" applyFill="1" applyBorder="1"/>
    <xf numFmtId="0" fontId="29" fillId="0" borderId="0" xfId="0" applyFont="1"/>
    <xf numFmtId="4" fontId="28" fillId="0" borderId="0" xfId="0" applyNumberFormat="1" applyFont="1"/>
    <xf numFmtId="3" fontId="31" fillId="0" borderId="34" xfId="0" applyNumberFormat="1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3" fontId="31" fillId="0" borderId="6" xfId="0" applyNumberFormat="1" applyFont="1" applyBorder="1" applyAlignment="1">
      <alignment horizontal="center"/>
    </xf>
    <xf numFmtId="3" fontId="31" fillId="0" borderId="3" xfId="0" applyNumberFormat="1" applyFont="1" applyBorder="1"/>
    <xf numFmtId="3" fontId="28" fillId="0" borderId="8" xfId="0" applyNumberFormat="1" applyFont="1" applyBorder="1"/>
    <xf numFmtId="3" fontId="31" fillId="0" borderId="21" xfId="0" applyNumberFormat="1" applyFont="1" applyBorder="1"/>
    <xf numFmtId="3" fontId="28" fillId="0" borderId="23" xfId="0" applyNumberFormat="1" applyFont="1" applyBorder="1"/>
    <xf numFmtId="3" fontId="31" fillId="0" borderId="8" xfId="0" applyNumberFormat="1" applyFont="1" applyBorder="1"/>
    <xf numFmtId="0" fontId="28" fillId="0" borderId="8" xfId="0" applyFont="1" applyBorder="1"/>
    <xf numFmtId="3" fontId="28" fillId="0" borderId="42" xfId="0" applyNumberFormat="1" applyFont="1" applyBorder="1"/>
    <xf numFmtId="3" fontId="31" fillId="0" borderId="47" xfId="0" applyNumberFormat="1" applyFont="1" applyBorder="1"/>
    <xf numFmtId="0" fontId="32" fillId="0" borderId="0" xfId="0" applyFont="1"/>
    <xf numFmtId="0" fontId="30" fillId="0" borderId="0" xfId="0" applyFont="1"/>
    <xf numFmtId="0" fontId="7" fillId="0" borderId="0" xfId="0" applyFont="1"/>
    <xf numFmtId="0" fontId="34" fillId="0" borderId="0" xfId="0" applyFont="1" applyAlignment="1">
      <alignment horizontal="right"/>
    </xf>
    <xf numFmtId="49" fontId="4" fillId="0" borderId="9" xfId="0" applyNumberFormat="1" applyFont="1" applyBorder="1" applyAlignment="1">
      <alignment horizontal="center"/>
    </xf>
    <xf numFmtId="0" fontId="28" fillId="0" borderId="46" xfId="0" applyFont="1" applyBorder="1"/>
    <xf numFmtId="0" fontId="5" fillId="0" borderId="17" xfId="0" applyFont="1" applyBorder="1"/>
    <xf numFmtId="0" fontId="5" fillId="0" borderId="5" xfId="0" applyFont="1" applyBorder="1"/>
    <xf numFmtId="3" fontId="5" fillId="0" borderId="6" xfId="0" applyNumberFormat="1" applyFont="1" applyBorder="1"/>
    <xf numFmtId="3" fontId="5" fillId="0" borderId="50" xfId="0" applyNumberFormat="1" applyFont="1" applyBorder="1"/>
    <xf numFmtId="167" fontId="5" fillId="0" borderId="17" xfId="0" applyNumberFormat="1" applyFont="1" applyBorder="1"/>
    <xf numFmtId="3" fontId="28" fillId="0" borderId="6" xfId="0" applyNumberFormat="1" applyFont="1" applyBorder="1"/>
    <xf numFmtId="3" fontId="4" fillId="0" borderId="58" xfId="0" applyNumberFormat="1" applyFont="1" applyBorder="1"/>
    <xf numFmtId="3" fontId="4" fillId="0" borderId="59" xfId="0" applyNumberFormat="1" applyFont="1" applyBorder="1"/>
    <xf numFmtId="0" fontId="4" fillId="0" borderId="21" xfId="0" applyFont="1" applyBorder="1"/>
    <xf numFmtId="0" fontId="5" fillId="0" borderId="23" xfId="0" applyFont="1" applyBorder="1"/>
    <xf numFmtId="0" fontId="4" fillId="0" borderId="23" xfId="0" applyFont="1" applyBorder="1"/>
    <xf numFmtId="0" fontId="4" fillId="0" borderId="47" xfId="0" applyFont="1" applyBorder="1"/>
    <xf numFmtId="0" fontId="4" fillId="0" borderId="7" xfId="0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5" borderId="21" xfId="0" applyNumberFormat="1" applyFont="1" applyFill="1" applyBorder="1"/>
    <xf numFmtId="3" fontId="5" fillId="5" borderId="23" xfId="0" applyNumberFormat="1" applyFont="1" applyFill="1" applyBorder="1"/>
    <xf numFmtId="3" fontId="5" fillId="5" borderId="6" xfId="0" applyNumberFormat="1" applyFont="1" applyFill="1" applyBorder="1"/>
    <xf numFmtId="0" fontId="4" fillId="0" borderId="18" xfId="0" applyFont="1" applyBorder="1" applyAlignment="1">
      <alignment horizontal="center"/>
    </xf>
    <xf numFmtId="3" fontId="35" fillId="0" borderId="8" xfId="0" applyNumberFormat="1" applyFont="1" applyBorder="1"/>
    <xf numFmtId="0" fontId="37" fillId="0" borderId="10" xfId="0" applyFont="1" applyBorder="1"/>
    <xf numFmtId="0" fontId="37" fillId="0" borderId="8" xfId="0" applyFont="1" applyBorder="1"/>
    <xf numFmtId="4" fontId="36" fillId="0" borderId="0" xfId="0" applyNumberFormat="1" applyFont="1"/>
    <xf numFmtId="164" fontId="4" fillId="0" borderId="3" xfId="0" applyNumberFormat="1" applyFont="1" applyBorder="1"/>
    <xf numFmtId="164" fontId="5" fillId="0" borderId="8" xfId="0" applyNumberFormat="1" applyFont="1" applyBorder="1"/>
    <xf numFmtId="164" fontId="4" fillId="0" borderId="21" xfId="0" applyNumberFormat="1" applyFont="1" applyBorder="1"/>
    <xf numFmtId="164" fontId="5" fillId="0" borderId="23" xfId="0" applyNumberFormat="1" applyFont="1" applyBorder="1"/>
    <xf numFmtId="164" fontId="4" fillId="0" borderId="8" xfId="0" applyNumberFormat="1" applyFont="1" applyBorder="1"/>
    <xf numFmtId="164" fontId="5" fillId="0" borderId="42" xfId="0" applyNumberFormat="1" applyFont="1" applyBorder="1"/>
    <xf numFmtId="164" fontId="4" fillId="0" borderId="47" xfId="0" applyNumberFormat="1" applyFont="1" applyBorder="1"/>
    <xf numFmtId="0" fontId="6" fillId="0" borderId="9" xfId="0" applyFont="1" applyBorder="1"/>
    <xf numFmtId="3" fontId="6" fillId="0" borderId="10" xfId="0" applyNumberFormat="1" applyFont="1" applyBorder="1"/>
    <xf numFmtId="3" fontId="6" fillId="0" borderId="8" xfId="0" applyNumberFormat="1" applyFont="1" applyBorder="1"/>
    <xf numFmtId="3" fontId="6" fillId="5" borderId="8" xfId="0" applyNumberFormat="1" applyFont="1" applyFill="1" applyBorder="1"/>
    <xf numFmtId="166" fontId="16" fillId="0" borderId="0" xfId="0" applyNumberFormat="1" applyFont="1"/>
    <xf numFmtId="177" fontId="38" fillId="0" borderId="0" xfId="0" applyNumberFormat="1" applyFont="1"/>
    <xf numFmtId="0" fontId="38" fillId="0" borderId="0" xfId="0" applyFont="1"/>
    <xf numFmtId="167" fontId="38" fillId="0" borderId="0" xfId="0" applyNumberFormat="1" applyFont="1"/>
    <xf numFmtId="179" fontId="5" fillId="0" borderId="8" xfId="0" applyNumberFormat="1" applyFont="1" applyBorder="1" applyAlignment="1">
      <alignment horizontal="center"/>
    </xf>
    <xf numFmtId="4" fontId="4" fillId="0" borderId="3" xfId="0" applyNumberFormat="1" applyFont="1" applyBorder="1"/>
    <xf numFmtId="4" fontId="5" fillId="0" borderId="8" xfId="0" applyNumberFormat="1" applyFont="1" applyBorder="1"/>
    <xf numFmtId="4" fontId="4" fillId="0" borderId="21" xfId="0" applyNumberFormat="1" applyFont="1" applyBorder="1"/>
    <xf numFmtId="4" fontId="5" fillId="0" borderId="23" xfId="0" applyNumberFormat="1" applyFont="1" applyBorder="1"/>
    <xf numFmtId="4" fontId="4" fillId="0" borderId="8" xfId="0" applyNumberFormat="1" applyFont="1" applyBorder="1"/>
    <xf numFmtId="4" fontId="5" fillId="0" borderId="42" xfId="0" applyNumberFormat="1" applyFont="1" applyBorder="1"/>
    <xf numFmtId="4" fontId="4" fillId="0" borderId="47" xfId="0" applyNumberFormat="1" applyFont="1" applyBorder="1"/>
    <xf numFmtId="4" fontId="43" fillId="0" borderId="3" xfId="0" applyNumberFormat="1" applyFont="1" applyBorder="1"/>
    <xf numFmtId="4" fontId="38" fillId="0" borderId="8" xfId="0" applyNumberFormat="1" applyFont="1" applyBorder="1"/>
    <xf numFmtId="4" fontId="43" fillId="0" borderId="21" xfId="0" applyNumberFormat="1" applyFont="1" applyBorder="1"/>
    <xf numFmtId="4" fontId="38" fillId="0" borderId="23" xfId="0" applyNumberFormat="1" applyFont="1" applyBorder="1"/>
    <xf numFmtId="4" fontId="43" fillId="0" borderId="8" xfId="0" applyNumberFormat="1" applyFont="1" applyBorder="1"/>
    <xf numFmtId="4" fontId="38" fillId="0" borderId="42" xfId="0" applyNumberFormat="1" applyFont="1" applyBorder="1"/>
    <xf numFmtId="4" fontId="43" fillId="0" borderId="47" xfId="0" applyNumberFormat="1" applyFont="1" applyBorder="1"/>
    <xf numFmtId="4" fontId="38" fillId="0" borderId="50" xfId="0" applyNumberFormat="1" applyFont="1" applyBorder="1"/>
    <xf numFmtId="164" fontId="38" fillId="0" borderId="0" xfId="0" applyNumberFormat="1" applyFont="1"/>
    <xf numFmtId="167" fontId="5" fillId="0" borderId="9" xfId="0" applyNumberFormat="1" applyFont="1" applyBorder="1"/>
    <xf numFmtId="0" fontId="40" fillId="0" borderId="10" xfId="0" applyFont="1" applyBorder="1" applyAlignment="1">
      <alignment horizontal="left"/>
    </xf>
    <xf numFmtId="0" fontId="40" fillId="0" borderId="10" xfId="0" applyFont="1" applyBorder="1"/>
    <xf numFmtId="0" fontId="38" fillId="0" borderId="10" xfId="0" applyFont="1" applyBorder="1"/>
    <xf numFmtId="0" fontId="38" fillId="0" borderId="0" xfId="0" applyFont="1" applyAlignment="1">
      <alignment horizontal="right"/>
    </xf>
    <xf numFmtId="172" fontId="5" fillId="0" borderId="9" xfId="0" applyNumberFormat="1" applyFont="1" applyBorder="1"/>
    <xf numFmtId="49" fontId="5" fillId="0" borderId="1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center"/>
    </xf>
    <xf numFmtId="3" fontId="38" fillId="0" borderId="0" xfId="0" applyNumberFormat="1" applyFont="1"/>
    <xf numFmtId="3" fontId="4" fillId="0" borderId="1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5" fillId="0" borderId="14" xfId="0" applyNumberFormat="1" applyFont="1" applyBorder="1"/>
    <xf numFmtId="180" fontId="18" fillId="2" borderId="15" xfId="0" applyNumberFormat="1" applyFont="1" applyFill="1" applyBorder="1" applyAlignment="1">
      <alignment horizontal="right"/>
    </xf>
    <xf numFmtId="181" fontId="18" fillId="2" borderId="15" xfId="0" applyNumberFormat="1" applyFont="1" applyFill="1" applyBorder="1" applyAlignment="1">
      <alignment horizontal="right"/>
    </xf>
    <xf numFmtId="181" fontId="10" fillId="2" borderId="15" xfId="0" applyNumberFormat="1" applyFont="1" applyFill="1" applyBorder="1" applyAlignment="1">
      <alignment horizontal="right"/>
    </xf>
    <xf numFmtId="0" fontId="4" fillId="0" borderId="51" xfId="0" applyFont="1" applyBorder="1" applyAlignment="1">
      <alignment horizontal="center"/>
    </xf>
    <xf numFmtId="167" fontId="4" fillId="0" borderId="33" xfId="0" applyNumberFormat="1" applyFont="1" applyBorder="1" applyAlignment="1">
      <alignment horizontal="center"/>
    </xf>
    <xf numFmtId="3" fontId="4" fillId="0" borderId="63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3" fillId="4" borderId="47" xfId="0" applyFont="1" applyFill="1" applyBorder="1"/>
    <xf numFmtId="0" fontId="28" fillId="0" borderId="28" xfId="0" applyFont="1" applyBorder="1" applyAlignment="1">
      <alignment wrapText="1"/>
    </xf>
    <xf numFmtId="0" fontId="0" fillId="0" borderId="28" xfId="0" applyBorder="1"/>
    <xf numFmtId="0" fontId="27" fillId="0" borderId="28" xfId="0" applyFont="1" applyBorder="1" applyAlignment="1">
      <alignment horizontal="center"/>
    </xf>
    <xf numFmtId="0" fontId="49" fillId="2" borderId="28" xfId="0" applyFont="1" applyFill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 shrinkToFit="1"/>
    </xf>
    <xf numFmtId="0" fontId="23" fillId="4" borderId="57" xfId="0" applyFont="1" applyFill="1" applyBorder="1"/>
    <xf numFmtId="0" fontId="49" fillId="0" borderId="56" xfId="0" applyFont="1" applyBorder="1" applyAlignment="1">
      <alignment wrapText="1"/>
    </xf>
    <xf numFmtId="0" fontId="0" fillId="0" borderId="56" xfId="0" applyBorder="1"/>
    <xf numFmtId="0" fontId="27" fillId="0" borderId="56" xfId="0" applyFont="1" applyBorder="1"/>
    <xf numFmtId="0" fontId="49" fillId="2" borderId="56" xfId="0" applyFont="1" applyFill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 shrinkToFit="1"/>
    </xf>
    <xf numFmtId="0" fontId="27" fillId="0" borderId="56" xfId="0" applyFont="1" applyBorder="1" applyAlignment="1">
      <alignment horizontal="center"/>
    </xf>
    <xf numFmtId="0" fontId="0" fillId="0" borderId="56" xfId="0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8" fillId="0" borderId="56" xfId="0" applyFont="1" applyBorder="1" applyAlignment="1">
      <alignment wrapText="1"/>
    </xf>
    <xf numFmtId="0" fontId="27" fillId="2" borderId="56" xfId="0" applyFont="1" applyFill="1" applyBorder="1" applyAlignment="1">
      <alignment vertical="center" wrapText="1"/>
    </xf>
    <xf numFmtId="0" fontId="0" fillId="0" borderId="56" xfId="0" applyBorder="1" applyAlignment="1">
      <alignment horizontal="left" vertical="center" wrapText="1"/>
    </xf>
    <xf numFmtId="0" fontId="23" fillId="4" borderId="34" xfId="0" applyFont="1" applyFill="1" applyBorder="1"/>
    <xf numFmtId="0" fontId="49" fillId="0" borderId="19" xfId="0" applyFont="1" applyBorder="1" applyAlignment="1">
      <alignment wrapText="1"/>
    </xf>
    <xf numFmtId="0" fontId="0" fillId="0" borderId="19" xfId="0" applyBorder="1"/>
    <xf numFmtId="0" fontId="27" fillId="0" borderId="19" xfId="0" applyFont="1" applyBorder="1"/>
    <xf numFmtId="0" fontId="27" fillId="2" borderId="19" xfId="0" applyFont="1" applyFill="1" applyBorder="1" applyAlignment="1">
      <alignment vertical="center" wrapText="1"/>
    </xf>
    <xf numFmtId="0" fontId="27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60" xfId="0" applyBorder="1"/>
    <xf numFmtId="0" fontId="28" fillId="0" borderId="39" xfId="0" applyFont="1" applyBorder="1" applyAlignment="1">
      <alignment wrapText="1"/>
    </xf>
    <xf numFmtId="0" fontId="50" fillId="0" borderId="2" xfId="0" applyFont="1" applyBorder="1" applyAlignment="1">
      <alignment wrapText="1"/>
    </xf>
    <xf numFmtId="0" fontId="0" fillId="0" borderId="39" xfId="0" applyBorder="1"/>
    <xf numFmtId="0" fontId="27" fillId="0" borderId="2" xfId="0" applyFont="1" applyBorder="1" applyAlignment="1">
      <alignment wrapText="1"/>
    </xf>
    <xf numFmtId="0" fontId="23" fillId="0" borderId="39" xfId="0" applyFont="1" applyBorder="1"/>
    <xf numFmtId="0" fontId="50" fillId="0" borderId="35" xfId="0" applyFont="1" applyBorder="1"/>
    <xf numFmtId="0" fontId="50" fillId="0" borderId="0" xfId="0" applyFont="1"/>
    <xf numFmtId="0" fontId="51" fillId="0" borderId="0" xfId="0" applyFont="1" applyAlignment="1">
      <alignment wrapText="1"/>
    </xf>
    <xf numFmtId="3" fontId="50" fillId="0" borderId="0" xfId="0" applyNumberFormat="1" applyFont="1"/>
    <xf numFmtId="0" fontId="50" fillId="0" borderId="50" xfId="0" applyFont="1" applyBorder="1"/>
    <xf numFmtId="0" fontId="51" fillId="0" borderId="14" xfId="0" applyFont="1" applyBorder="1" applyAlignment="1">
      <alignment wrapText="1"/>
    </xf>
    <xf numFmtId="3" fontId="50" fillId="0" borderId="14" xfId="0" applyNumberFormat="1" applyFont="1" applyBorder="1"/>
    <xf numFmtId="0" fontId="50" fillId="0" borderId="14" xfId="0" applyFont="1" applyBorder="1"/>
    <xf numFmtId="0" fontId="50" fillId="0" borderId="52" xfId="0" applyFont="1" applyBorder="1"/>
    <xf numFmtId="0" fontId="50" fillId="0" borderId="17" xfId="0" applyFont="1" applyBorder="1"/>
    <xf numFmtId="0" fontId="6" fillId="0" borderId="5" xfId="0" applyFont="1" applyBorder="1" applyAlignment="1">
      <alignment vertical="center" wrapText="1"/>
    </xf>
    <xf numFmtId="0" fontId="23" fillId="0" borderId="28" xfId="0" applyFont="1" applyBorder="1" applyAlignment="1">
      <alignment horizontal="center" vertical="center" wrapText="1"/>
    </xf>
    <xf numFmtId="0" fontId="49" fillId="2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23" fillId="3" borderId="5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49" fillId="0" borderId="56" xfId="0" applyFont="1" applyBorder="1" applyAlignment="1">
      <alignment horizontal="left" wrapText="1"/>
    </xf>
    <xf numFmtId="0" fontId="27" fillId="0" borderId="13" xfId="0" applyFont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49" fillId="0" borderId="56" xfId="0" applyFont="1" applyBorder="1" applyAlignment="1">
      <alignment horizont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7" fillId="0" borderId="19" xfId="0" applyFont="1" applyBorder="1" applyAlignment="1">
      <alignment horizontal="center"/>
    </xf>
    <xf numFmtId="0" fontId="49" fillId="2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vertical="center" wrapText="1"/>
    </xf>
    <xf numFmtId="0" fontId="50" fillId="0" borderId="0" xfId="0" applyFont="1" applyAlignment="1">
      <alignment horizontal="center" vertical="center"/>
    </xf>
    <xf numFmtId="0" fontId="50" fillId="0" borderId="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3" fillId="0" borderId="0" xfId="0" applyFo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" fontId="5" fillId="0" borderId="9" xfId="0" applyNumberFormat="1" applyFont="1" applyBorder="1"/>
    <xf numFmtId="1" fontId="5" fillId="0" borderId="22" xfId="0" applyNumberFormat="1" applyFont="1" applyBorder="1"/>
    <xf numFmtId="1" fontId="5" fillId="0" borderId="8" xfId="0" applyNumberFormat="1" applyFont="1" applyBorder="1"/>
    <xf numFmtId="3" fontId="4" fillId="0" borderId="22" xfId="0" applyNumberFormat="1" applyFont="1" applyBorder="1"/>
    <xf numFmtId="0" fontId="5" fillId="0" borderId="50" xfId="0" applyFont="1" applyBorder="1"/>
    <xf numFmtId="4" fontId="44" fillId="0" borderId="0" xfId="0" applyNumberFormat="1" applyFont="1"/>
    <xf numFmtId="0" fontId="4" fillId="0" borderId="4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70" fontId="4" fillId="0" borderId="31" xfId="0" applyNumberFormat="1" applyFont="1" applyBorder="1"/>
    <xf numFmtId="170" fontId="5" fillId="0" borderId="15" xfId="0" applyNumberFormat="1" applyFont="1" applyBorder="1"/>
    <xf numFmtId="170" fontId="4" fillId="0" borderId="44" xfId="0" applyNumberFormat="1" applyFont="1" applyBorder="1"/>
    <xf numFmtId="170" fontId="4" fillId="0" borderId="49" xfId="0" applyNumberFormat="1" applyFont="1" applyBorder="1" applyAlignment="1">
      <alignment horizontal="right"/>
    </xf>
    <xf numFmtId="0" fontId="5" fillId="0" borderId="32" xfId="0" applyFont="1" applyBorder="1"/>
    <xf numFmtId="3" fontId="4" fillId="0" borderId="0" xfId="0" applyNumberFormat="1" applyFont="1"/>
    <xf numFmtId="0" fontId="54" fillId="0" borderId="0" xfId="0" applyFont="1"/>
    <xf numFmtId="0" fontId="54" fillId="0" borderId="0" xfId="0" applyFont="1" applyAlignment="1">
      <alignment horizontal="right"/>
    </xf>
    <xf numFmtId="0" fontId="55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3" fillId="2" borderId="28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wrapText="1"/>
    </xf>
    <xf numFmtId="0" fontId="3" fillId="0" borderId="25" xfId="0" applyFont="1" applyBorder="1" applyAlignment="1">
      <alignment horizontal="center"/>
    </xf>
    <xf numFmtId="3" fontId="5" fillId="0" borderId="9" xfId="0" applyNumberFormat="1" applyFont="1" applyFill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1" fontId="5" fillId="0" borderId="10" xfId="0" applyNumberFormat="1" applyFont="1" applyFill="1" applyBorder="1"/>
    <xf numFmtId="3" fontId="4" fillId="0" borderId="20" xfId="0" applyNumberFormat="1" applyFont="1" applyFill="1" applyBorder="1"/>
    <xf numFmtId="3" fontId="4" fillId="0" borderId="12" xfId="0" applyNumberFormat="1" applyFont="1" applyFill="1" applyBorder="1"/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22" xfId="0" applyNumberFormat="1" applyFont="1" applyFill="1" applyBorder="1"/>
    <xf numFmtId="3" fontId="5" fillId="0" borderId="13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3" fontId="27" fillId="0" borderId="9" xfId="0" applyNumberFormat="1" applyFont="1" applyFill="1" applyBorder="1" applyProtection="1">
      <protection locked="0"/>
    </xf>
    <xf numFmtId="3" fontId="10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3" fontId="4" fillId="5" borderId="47" xfId="0" applyNumberFormat="1" applyFont="1" applyFill="1" applyBorder="1"/>
    <xf numFmtId="0" fontId="6" fillId="0" borderId="10" xfId="0" applyFont="1" applyFill="1" applyBorder="1"/>
    <xf numFmtId="0" fontId="4" fillId="0" borderId="10" xfId="0" applyFont="1" applyFill="1" applyBorder="1"/>
    <xf numFmtId="3" fontId="5" fillId="0" borderId="8" xfId="0" applyNumberFormat="1" applyFont="1" applyFill="1" applyBorder="1"/>
    <xf numFmtId="3" fontId="0" fillId="0" borderId="0" xfId="0" applyNumberFormat="1" applyFill="1"/>
    <xf numFmtId="3" fontId="4" fillId="0" borderId="36" xfId="0" applyNumberFormat="1" applyFont="1" applyBorder="1"/>
    <xf numFmtId="0" fontId="5" fillId="0" borderId="16" xfId="0" applyFont="1" applyBorder="1"/>
    <xf numFmtId="1" fontId="4" fillId="0" borderId="31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170" fontId="10" fillId="0" borderId="15" xfId="0" applyNumberFormat="1" applyFont="1" applyFill="1" applyBorder="1" applyAlignment="1">
      <alignment horizontal="right"/>
    </xf>
    <xf numFmtId="170" fontId="18" fillId="0" borderId="15" xfId="0" applyNumberFormat="1" applyFont="1" applyFill="1" applyBorder="1" applyAlignment="1">
      <alignment horizontal="right"/>
    </xf>
    <xf numFmtId="170" fontId="10" fillId="0" borderId="18" xfId="0" applyNumberFormat="1" applyFont="1" applyFill="1" applyBorder="1" applyAlignment="1">
      <alignment horizontal="right"/>
    </xf>
    <xf numFmtId="0" fontId="4" fillId="0" borderId="60" xfId="0" applyFont="1" applyBorder="1"/>
    <xf numFmtId="0" fontId="4" fillId="0" borderId="45" xfId="0" applyFont="1" applyBorder="1"/>
    <xf numFmtId="3" fontId="5" fillId="5" borderId="15" xfId="0" applyNumberFormat="1" applyFont="1" applyFill="1" applyBorder="1"/>
    <xf numFmtId="3" fontId="4" fillId="5" borderId="15" xfId="0" applyNumberFormat="1" applyFont="1" applyFill="1" applyBorder="1"/>
    <xf numFmtId="3" fontId="5" fillId="5" borderId="18" xfId="0" applyNumberFormat="1" applyFont="1" applyFill="1" applyBorder="1"/>
    <xf numFmtId="0" fontId="3" fillId="0" borderId="26" xfId="0" applyFont="1" applyBorder="1" applyAlignment="1">
      <alignment horizontal="center"/>
    </xf>
    <xf numFmtId="9" fontId="9" fillId="0" borderId="14" xfId="2" applyFont="1" applyFill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69" fontId="5" fillId="0" borderId="46" xfId="2" applyNumberFormat="1" applyFont="1" applyBorder="1"/>
    <xf numFmtId="169" fontId="8" fillId="0" borderId="46" xfId="2" applyNumberFormat="1" applyFont="1" applyBorder="1"/>
    <xf numFmtId="169" fontId="4" fillId="0" borderId="46" xfId="2" applyNumberFormat="1" applyFont="1" applyBorder="1"/>
    <xf numFmtId="169" fontId="16" fillId="0" borderId="46" xfId="0" applyNumberFormat="1" applyFont="1" applyBorder="1"/>
    <xf numFmtId="169" fontId="3" fillId="0" borderId="46" xfId="0" applyNumberFormat="1" applyFont="1" applyBorder="1"/>
    <xf numFmtId="169" fontId="16" fillId="0" borderId="45" xfId="0" applyNumberFormat="1" applyFont="1" applyBorder="1"/>
    <xf numFmtId="0" fontId="8" fillId="0" borderId="5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3" xfId="0" applyNumberFormat="1" applyFont="1" applyBorder="1"/>
    <xf numFmtId="3" fontId="8" fillId="0" borderId="21" xfId="0" applyNumberFormat="1" applyFont="1" applyBorder="1"/>
    <xf numFmtId="3" fontId="8" fillId="0" borderId="43" xfId="0" applyNumberFormat="1" applyFont="1" applyBorder="1"/>
    <xf numFmtId="3" fontId="6" fillId="0" borderId="46" xfId="0" applyNumberFormat="1" applyFont="1" applyBorder="1"/>
    <xf numFmtId="3" fontId="6" fillId="0" borderId="27" xfId="0" applyNumberFormat="1" applyFont="1" applyBorder="1"/>
    <xf numFmtId="3" fontId="8" fillId="0" borderId="8" xfId="0" applyNumberFormat="1" applyFont="1" applyBorder="1"/>
    <xf numFmtId="3" fontId="6" fillId="0" borderId="42" xfId="0" applyNumberFormat="1" applyFont="1" applyBorder="1"/>
    <xf numFmtId="3" fontId="6" fillId="0" borderId="23" xfId="0" applyNumberFormat="1" applyFont="1" applyBorder="1"/>
    <xf numFmtId="3" fontId="8" fillId="0" borderId="47" xfId="0" applyNumberFormat="1" applyFont="1" applyBorder="1"/>
    <xf numFmtId="3" fontId="6" fillId="0" borderId="50" xfId="0" applyNumberFormat="1" applyFont="1" applyBorder="1"/>
    <xf numFmtId="0" fontId="8" fillId="0" borderId="34" xfId="0" applyFont="1" applyBorder="1" applyAlignment="1">
      <alignment horizontal="center"/>
    </xf>
    <xf numFmtId="3" fontId="6" fillId="0" borderId="6" xfId="0" applyNumberFormat="1" applyFont="1" applyBorder="1"/>
    <xf numFmtId="0" fontId="52" fillId="0" borderId="4" xfId="0" applyFont="1" applyBorder="1" applyAlignment="1">
      <alignment wrapText="1"/>
    </xf>
    <xf numFmtId="0" fontId="52" fillId="0" borderId="5" xfId="0" applyFont="1" applyBorder="1" applyAlignment="1">
      <alignment wrapText="1"/>
    </xf>
    <xf numFmtId="0" fontId="52" fillId="0" borderId="28" xfId="0" applyFont="1" applyBorder="1" applyAlignment="1">
      <alignment wrapText="1"/>
    </xf>
    <xf numFmtId="0" fontId="52" fillId="0" borderId="28" xfId="0" applyFont="1" applyBorder="1"/>
    <xf numFmtId="0" fontId="52" fillId="0" borderId="47" xfId="0" applyFont="1" applyBorder="1"/>
    <xf numFmtId="0" fontId="52" fillId="0" borderId="0" xfId="0" applyFont="1"/>
    <xf numFmtId="0" fontId="52" fillId="0" borderId="5" xfId="0" applyFont="1" applyBorder="1" applyAlignment="1">
      <alignment horizontal="center" wrapText="1"/>
    </xf>
    <xf numFmtId="0" fontId="3" fillId="5" borderId="18" xfId="0" applyFont="1" applyFill="1" applyBorder="1" applyAlignment="1">
      <alignment horizontal="center"/>
    </xf>
    <xf numFmtId="0" fontId="3" fillId="5" borderId="31" xfId="0" applyFont="1" applyFill="1" applyBorder="1"/>
    <xf numFmtId="3" fontId="8" fillId="5" borderId="12" xfId="0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right"/>
    </xf>
    <xf numFmtId="3" fontId="19" fillId="5" borderId="10" xfId="0" applyNumberFormat="1" applyFont="1" applyFill="1" applyBorder="1" applyAlignment="1">
      <alignment horizontal="right"/>
    </xf>
    <xf numFmtId="3" fontId="9" fillId="5" borderId="14" xfId="0" applyNumberFormat="1" applyFont="1" applyFill="1" applyBorder="1" applyAlignment="1">
      <alignment horizontal="right"/>
    </xf>
    <xf numFmtId="3" fontId="9" fillId="5" borderId="10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9" fillId="5" borderId="13" xfId="0" applyNumberFormat="1" applyFont="1" applyFill="1" applyBorder="1" applyAlignment="1">
      <alignment horizontal="right"/>
    </xf>
    <xf numFmtId="3" fontId="8" fillId="5" borderId="17" xfId="0" applyNumberFormat="1" applyFont="1" applyFill="1" applyBorder="1" applyAlignment="1">
      <alignment horizontal="center"/>
    </xf>
    <xf numFmtId="3" fontId="6" fillId="5" borderId="15" xfId="0" applyNumberFormat="1" applyFont="1" applyFill="1" applyBorder="1"/>
    <xf numFmtId="3" fontId="19" fillId="5" borderId="15" xfId="0" applyNumberFormat="1" applyFon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3" fontId="6" fillId="5" borderId="15" xfId="0" applyNumberFormat="1" applyFont="1" applyFill="1" applyBorder="1" applyAlignment="1">
      <alignment horizontal="right"/>
    </xf>
    <xf numFmtId="3" fontId="7" fillId="5" borderId="18" xfId="0" applyNumberFormat="1" applyFont="1" applyFill="1" applyBorder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3" fontId="16" fillId="0" borderId="0" xfId="0" applyNumberFormat="1" applyFont="1" applyFill="1" applyAlignment="1">
      <alignment horizontal="right"/>
    </xf>
    <xf numFmtId="168" fontId="16" fillId="0" borderId="0" xfId="0" applyNumberFormat="1" applyFont="1" applyFill="1" applyAlignment="1">
      <alignment horizontal="right"/>
    </xf>
    <xf numFmtId="167" fontId="16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38" fillId="0" borderId="0" xfId="0" applyNumberFormat="1" applyFont="1" applyFill="1"/>
    <xf numFmtId="167" fontId="38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4" fillId="0" borderId="12" xfId="0" applyFont="1" applyFill="1" applyBorder="1"/>
    <xf numFmtId="172" fontId="4" fillId="0" borderId="12" xfId="0" applyNumberFormat="1" applyFont="1" applyFill="1" applyBorder="1"/>
    <xf numFmtId="3" fontId="4" fillId="0" borderId="12" xfId="0" applyNumberFormat="1" applyFont="1" applyFill="1" applyBorder="1" applyAlignment="1">
      <alignment horizontal="right"/>
    </xf>
    <xf numFmtId="168" fontId="4" fillId="0" borderId="12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center"/>
    </xf>
    <xf numFmtId="1" fontId="43" fillId="0" borderId="12" xfId="0" applyNumberFormat="1" applyFont="1" applyFill="1" applyBorder="1" applyAlignment="1">
      <alignment horizontal="center"/>
    </xf>
    <xf numFmtId="0" fontId="43" fillId="0" borderId="12" xfId="0" applyFont="1" applyFill="1" applyBorder="1" applyAlignment="1">
      <alignment horizontal="right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171" fontId="4" fillId="0" borderId="5" xfId="0" applyNumberFormat="1" applyFont="1" applyFill="1" applyBorder="1" applyAlignment="1">
      <alignment horizontal="center"/>
    </xf>
    <xf numFmtId="168" fontId="4" fillId="0" borderId="5" xfId="0" applyNumberFormat="1" applyFont="1" applyFill="1" applyBorder="1" applyAlignment="1">
      <alignment horizontal="center"/>
    </xf>
    <xf numFmtId="167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49" fontId="43" fillId="0" borderId="5" xfId="0" applyNumberFormat="1" applyFont="1" applyFill="1" applyBorder="1" applyAlignment="1">
      <alignment horizontal="center"/>
    </xf>
    <xf numFmtId="0" fontId="43" fillId="0" borderId="5" xfId="0" applyFont="1" applyFill="1" applyBorder="1" applyAlignment="1">
      <alignment horizontal="right"/>
    </xf>
    <xf numFmtId="0" fontId="3" fillId="0" borderId="10" xfId="0" applyFont="1" applyFill="1" applyBorder="1"/>
    <xf numFmtId="3" fontId="9" fillId="0" borderId="10" xfId="0" applyNumberFormat="1" applyFont="1" applyFill="1" applyBorder="1" applyAlignment="1">
      <alignment horizontal="right"/>
    </xf>
    <xf numFmtId="168" fontId="9" fillId="0" borderId="10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43" fillId="0" borderId="10" xfId="0" applyNumberFormat="1" applyFont="1" applyFill="1" applyBorder="1"/>
    <xf numFmtId="0" fontId="43" fillId="0" borderId="10" xfId="0" applyFont="1" applyFill="1" applyBorder="1" applyAlignment="1">
      <alignment horizontal="right"/>
    </xf>
    <xf numFmtId="3" fontId="18" fillId="0" borderId="10" xfId="0" applyNumberFormat="1" applyFont="1" applyFill="1" applyBorder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170" fontId="45" fillId="0" borderId="10" xfId="0" applyNumberFormat="1" applyFont="1" applyFill="1" applyBorder="1" applyAlignment="1">
      <alignment horizontal="right"/>
    </xf>
    <xf numFmtId="3" fontId="38" fillId="0" borderId="10" xfId="0" applyNumberFormat="1" applyFont="1" applyFill="1" applyBorder="1" applyAlignment="1">
      <alignment horizontal="right"/>
    </xf>
    <xf numFmtId="0" fontId="16" fillId="0" borderId="10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173" fontId="10" fillId="0" borderId="10" xfId="0" applyNumberFormat="1" applyFont="1" applyFill="1" applyBorder="1" applyAlignment="1">
      <alignment horizontal="right"/>
    </xf>
    <xf numFmtId="164" fontId="10" fillId="0" borderId="10" xfId="0" applyNumberFormat="1" applyFont="1" applyFill="1" applyBorder="1" applyAlignment="1">
      <alignment horizontal="right"/>
    </xf>
    <xf numFmtId="3" fontId="48" fillId="0" borderId="10" xfId="0" applyNumberFormat="1" applyFont="1" applyFill="1" applyBorder="1" applyAlignment="1">
      <alignment horizontal="right"/>
    </xf>
    <xf numFmtId="170" fontId="24" fillId="0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38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horizontal="right"/>
    </xf>
    <xf numFmtId="170" fontId="43" fillId="0" borderId="10" xfId="0" applyNumberFormat="1" applyFont="1" applyFill="1" applyBorder="1"/>
    <xf numFmtId="0" fontId="5" fillId="0" borderId="10" xfId="0" applyFont="1" applyFill="1" applyBorder="1" applyAlignment="1">
      <alignment horizontal="left"/>
    </xf>
    <xf numFmtId="166" fontId="38" fillId="0" borderId="10" xfId="0" applyNumberFormat="1" applyFont="1" applyFill="1" applyBorder="1" applyAlignment="1">
      <alignment horizontal="right"/>
    </xf>
    <xf numFmtId="175" fontId="38" fillId="0" borderId="10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4" fillId="0" borderId="14" xfId="0" applyFont="1" applyFill="1" applyBorder="1"/>
    <xf numFmtId="3" fontId="9" fillId="0" borderId="14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70" fontId="45" fillId="0" borderId="14" xfId="0" applyNumberFormat="1" applyFont="1" applyFill="1" applyBorder="1" applyAlignment="1">
      <alignment horizontal="right"/>
    </xf>
    <xf numFmtId="3" fontId="45" fillId="0" borderId="14" xfId="0" applyNumberFormat="1" applyFont="1" applyFill="1" applyBorder="1" applyAlignment="1">
      <alignment horizontal="right"/>
    </xf>
    <xf numFmtId="170" fontId="10" fillId="0" borderId="10" xfId="0" applyNumberFormat="1" applyFont="1" applyFill="1" applyBorder="1" applyAlignment="1">
      <alignment horizontal="right"/>
    </xf>
    <xf numFmtId="178" fontId="10" fillId="0" borderId="10" xfId="0" applyNumberFormat="1" applyFont="1" applyFill="1" applyBorder="1" applyAlignment="1">
      <alignment horizontal="right"/>
    </xf>
    <xf numFmtId="1" fontId="5" fillId="0" borderId="10" xfId="0" applyNumberFormat="1" applyFont="1" applyFill="1" applyBorder="1" applyAlignment="1">
      <alignment horizontal="right"/>
    </xf>
    <xf numFmtId="168" fontId="24" fillId="0" borderId="10" xfId="0" applyNumberFormat="1" applyFont="1" applyFill="1" applyBorder="1" applyAlignment="1">
      <alignment horizontal="right"/>
    </xf>
    <xf numFmtId="0" fontId="36" fillId="0" borderId="10" xfId="0" applyFont="1" applyFill="1" applyBorder="1"/>
    <xf numFmtId="0" fontId="37" fillId="0" borderId="10" xfId="0" applyFont="1" applyFill="1" applyBorder="1"/>
    <xf numFmtId="168" fontId="24" fillId="0" borderId="7" xfId="0" applyNumberFormat="1" applyFont="1" applyFill="1" applyBorder="1" applyAlignment="1">
      <alignment horizontal="right"/>
    </xf>
    <xf numFmtId="0" fontId="38" fillId="0" borderId="7" xfId="0" applyFont="1" applyFill="1" applyBorder="1" applyAlignment="1">
      <alignment horizontal="right"/>
    </xf>
    <xf numFmtId="3" fontId="46" fillId="0" borderId="10" xfId="0" applyNumberFormat="1" applyFont="1" applyFill="1" applyBorder="1" applyAlignment="1">
      <alignment horizontal="right"/>
    </xf>
    <xf numFmtId="0" fontId="38" fillId="0" borderId="0" xfId="0" applyFont="1" applyFill="1" applyAlignment="1">
      <alignment horizontal="right"/>
    </xf>
    <xf numFmtId="174" fontId="10" fillId="0" borderId="10" xfId="0" applyNumberFormat="1" applyFont="1" applyFill="1" applyBorder="1" applyAlignment="1">
      <alignment horizontal="right"/>
    </xf>
    <xf numFmtId="3" fontId="47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horizontal="left"/>
    </xf>
    <xf numFmtId="164" fontId="10" fillId="0" borderId="36" xfId="0" applyNumberFormat="1" applyFont="1" applyFill="1" applyBorder="1" applyAlignment="1">
      <alignment horizontal="right"/>
    </xf>
    <xf numFmtId="0" fontId="47" fillId="0" borderId="7" xfId="0" applyFont="1" applyFill="1" applyBorder="1" applyAlignment="1">
      <alignment horizontal="right"/>
    </xf>
    <xf numFmtId="176" fontId="38" fillId="0" borderId="10" xfId="0" applyNumberFormat="1" applyFont="1" applyFill="1" applyBorder="1" applyAlignment="1">
      <alignment horizontal="right"/>
    </xf>
    <xf numFmtId="2" fontId="38" fillId="0" borderId="10" xfId="0" applyNumberFormat="1" applyFont="1" applyFill="1" applyBorder="1" applyAlignment="1">
      <alignment horizontal="right"/>
    </xf>
    <xf numFmtId="177" fontId="38" fillId="0" borderId="10" xfId="0" applyNumberFormat="1" applyFont="1" applyFill="1" applyBorder="1" applyAlignment="1">
      <alignment horizontal="right"/>
    </xf>
    <xf numFmtId="0" fontId="0" fillId="0" borderId="10" xfId="0" applyFill="1" applyBorder="1"/>
    <xf numFmtId="3" fontId="6" fillId="0" borderId="10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right"/>
    </xf>
    <xf numFmtId="167" fontId="43" fillId="0" borderId="10" xfId="0" applyNumberFormat="1" applyFont="1" applyFill="1" applyBorder="1" applyAlignment="1">
      <alignment horizontal="right"/>
    </xf>
    <xf numFmtId="0" fontId="16" fillId="0" borderId="0" xfId="0" applyFont="1" applyFill="1"/>
    <xf numFmtId="4" fontId="38" fillId="0" borderId="10" xfId="0" applyNumberFormat="1" applyFont="1" applyFill="1" applyBorder="1" applyAlignment="1">
      <alignment horizontal="right"/>
    </xf>
    <xf numFmtId="49" fontId="5" fillId="0" borderId="10" xfId="0" applyNumberFormat="1" applyFont="1" applyFill="1" applyBorder="1" applyAlignment="1">
      <alignment horizontal="left"/>
    </xf>
    <xf numFmtId="170" fontId="10" fillId="0" borderId="10" xfId="0" applyNumberFormat="1" applyFont="1" applyFill="1" applyBorder="1"/>
    <xf numFmtId="0" fontId="5" fillId="0" borderId="36" xfId="0" applyFont="1" applyFill="1" applyBorder="1"/>
    <xf numFmtId="0" fontId="38" fillId="0" borderId="10" xfId="0" applyFont="1" applyFill="1" applyBorder="1" applyAlignment="1">
      <alignment horizontal="center"/>
    </xf>
    <xf numFmtId="0" fontId="5" fillId="0" borderId="14" xfId="0" applyFont="1" applyFill="1" applyBorder="1"/>
    <xf numFmtId="167" fontId="42" fillId="0" borderId="14" xfId="0" applyNumberFormat="1" applyFont="1" applyFill="1" applyBorder="1" applyAlignment="1">
      <alignment horizontal="right"/>
    </xf>
    <xf numFmtId="167" fontId="38" fillId="0" borderId="14" xfId="0" applyNumberFormat="1" applyFont="1" applyFill="1" applyBorder="1" applyAlignment="1">
      <alignment horizontal="right"/>
    </xf>
    <xf numFmtId="164" fontId="45" fillId="0" borderId="10" xfId="0" applyNumberFormat="1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right"/>
    </xf>
    <xf numFmtId="0" fontId="38" fillId="0" borderId="14" xfId="0" applyFont="1" applyFill="1" applyBorder="1" applyAlignment="1">
      <alignment horizontal="right"/>
    </xf>
    <xf numFmtId="3" fontId="43" fillId="0" borderId="10" xfId="0" applyNumberFormat="1" applyFont="1" applyFill="1" applyBorder="1" applyAlignment="1">
      <alignment horizontal="right"/>
    </xf>
    <xf numFmtId="4" fontId="10" fillId="0" borderId="10" xfId="0" applyNumberFormat="1" applyFont="1" applyFill="1" applyBorder="1" applyAlignment="1">
      <alignment horizontal="right"/>
    </xf>
    <xf numFmtId="49" fontId="37" fillId="0" borderId="10" xfId="0" applyNumberFormat="1" applyFont="1" applyFill="1" applyBorder="1"/>
    <xf numFmtId="0" fontId="37" fillId="0" borderId="36" xfId="0" applyFont="1" applyFill="1" applyBorder="1"/>
    <xf numFmtId="3" fontId="38" fillId="0" borderId="7" xfId="0" applyNumberFormat="1" applyFont="1" applyFill="1" applyBorder="1" applyAlignment="1">
      <alignment horizontal="right"/>
    </xf>
    <xf numFmtId="49" fontId="5" fillId="0" borderId="10" xfId="0" applyNumberFormat="1" applyFont="1" applyFill="1" applyBorder="1"/>
    <xf numFmtId="3" fontId="4" fillId="0" borderId="14" xfId="0" applyNumberFormat="1" applyFont="1" applyFill="1" applyBorder="1" applyAlignment="1">
      <alignment horizontal="right"/>
    </xf>
    <xf numFmtId="3" fontId="43" fillId="0" borderId="14" xfId="0" applyNumberFormat="1" applyFont="1" applyFill="1" applyBorder="1" applyAlignment="1">
      <alignment horizontal="right"/>
    </xf>
    <xf numFmtId="0" fontId="11" fillId="0" borderId="16" xfId="0" applyFont="1" applyFill="1" applyBorder="1"/>
    <xf numFmtId="0" fontId="12" fillId="0" borderId="11" xfId="0" applyFont="1" applyFill="1" applyBorder="1"/>
    <xf numFmtId="0" fontId="10" fillId="0" borderId="13" xfId="0" applyFont="1" applyFill="1" applyBorder="1"/>
    <xf numFmtId="0" fontId="12" fillId="0" borderId="13" xfId="0" applyFont="1" applyFill="1" applyBorder="1"/>
    <xf numFmtId="164" fontId="12" fillId="0" borderId="13" xfId="0" applyNumberFormat="1" applyFont="1" applyFill="1" applyBorder="1"/>
    <xf numFmtId="3" fontId="9" fillId="0" borderId="13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73" fontId="45" fillId="0" borderId="19" xfId="0" applyNumberFormat="1" applyFont="1" applyFill="1" applyBorder="1" applyAlignment="1">
      <alignment horizontal="right"/>
    </xf>
    <xf numFmtId="4" fontId="24" fillId="0" borderId="24" xfId="0" applyNumberFormat="1" applyFont="1" applyFill="1" applyBorder="1" applyAlignment="1">
      <alignment horizontal="right"/>
    </xf>
    <xf numFmtId="170" fontId="38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17" xfId="0" applyFont="1" applyFill="1" applyBorder="1"/>
    <xf numFmtId="3" fontId="4" fillId="0" borderId="32" xfId="0" applyNumberFormat="1" applyFont="1" applyFill="1" applyBorder="1" applyAlignment="1">
      <alignment horizontal="right"/>
    </xf>
    <xf numFmtId="171" fontId="4" fillId="0" borderId="17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164" fontId="4" fillId="0" borderId="50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70" fontId="43" fillId="0" borderId="32" xfId="0" applyNumberFormat="1" applyFont="1" applyFill="1" applyBorder="1" applyAlignment="1">
      <alignment horizontal="right"/>
    </xf>
    <xf numFmtId="0" fontId="38" fillId="0" borderId="32" xfId="0" applyFont="1" applyFill="1" applyBorder="1" applyAlignment="1">
      <alignment horizontal="right"/>
    </xf>
    <xf numFmtId="0" fontId="5" fillId="0" borderId="9" xfId="0" applyFont="1" applyFill="1" applyBorder="1"/>
    <xf numFmtId="3" fontId="5" fillId="0" borderId="15" xfId="0" applyNumberFormat="1" applyFont="1" applyFill="1" applyBorder="1"/>
    <xf numFmtId="164" fontId="10" fillId="0" borderId="15" xfId="0" applyNumberFormat="1" applyFont="1" applyFill="1" applyBorder="1" applyAlignment="1">
      <alignment horizontal="right"/>
    </xf>
    <xf numFmtId="164" fontId="10" fillId="0" borderId="46" xfId="0" applyNumberFormat="1" applyFont="1" applyFill="1" applyBorder="1" applyAlignment="1">
      <alignment horizontal="right"/>
    </xf>
    <xf numFmtId="0" fontId="38" fillId="0" borderId="15" xfId="0" applyFont="1" applyFill="1" applyBorder="1" applyAlignment="1">
      <alignment horizontal="right"/>
    </xf>
    <xf numFmtId="167" fontId="38" fillId="0" borderId="15" xfId="0" applyNumberFormat="1" applyFont="1" applyFill="1" applyBorder="1" applyAlignment="1">
      <alignment horizontal="right"/>
    </xf>
    <xf numFmtId="3" fontId="10" fillId="0" borderId="15" xfId="0" applyNumberFormat="1" applyFont="1" applyFill="1" applyBorder="1" applyAlignment="1">
      <alignment horizontal="right"/>
    </xf>
    <xf numFmtId="0" fontId="3" fillId="0" borderId="9" xfId="0" applyFont="1" applyFill="1" applyBorder="1"/>
    <xf numFmtId="3" fontId="4" fillId="0" borderId="15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46" xfId="0" applyNumberFormat="1" applyFont="1" applyFill="1" applyBorder="1" applyAlignment="1">
      <alignment horizontal="right"/>
    </xf>
    <xf numFmtId="4" fontId="38" fillId="0" borderId="15" xfId="0" applyNumberFormat="1" applyFont="1" applyFill="1" applyBorder="1" applyAlignment="1">
      <alignment horizontal="right"/>
    </xf>
    <xf numFmtId="3" fontId="5" fillId="0" borderId="15" xfId="0" applyNumberFormat="1" applyFont="1" applyFill="1" applyBorder="1" applyAlignment="1">
      <alignment horizontal="right"/>
    </xf>
    <xf numFmtId="1" fontId="5" fillId="0" borderId="0" xfId="0" applyNumberFormat="1" applyFont="1" applyFill="1"/>
    <xf numFmtId="0" fontId="3" fillId="0" borderId="4" xfId="0" applyFont="1" applyFill="1" applyBorder="1"/>
    <xf numFmtId="3" fontId="3" fillId="0" borderId="18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164" fontId="13" fillId="0" borderId="18" xfId="0" applyNumberFormat="1" applyFont="1" applyFill="1" applyBorder="1" applyAlignment="1">
      <alignment horizontal="right"/>
    </xf>
    <xf numFmtId="164" fontId="13" fillId="0" borderId="45" xfId="0" applyNumberFormat="1" applyFont="1" applyFill="1" applyBorder="1" applyAlignment="1">
      <alignment horizontal="right"/>
    </xf>
    <xf numFmtId="170" fontId="45" fillId="0" borderId="18" xfId="0" applyNumberFormat="1" applyFont="1" applyFill="1" applyBorder="1" applyAlignment="1">
      <alignment horizontal="right"/>
    </xf>
    <xf numFmtId="0" fontId="38" fillId="0" borderId="18" xfId="0" applyFont="1" applyFill="1" applyBorder="1" applyAlignment="1">
      <alignment horizontal="right"/>
    </xf>
    <xf numFmtId="164" fontId="9" fillId="0" borderId="45" xfId="0" applyNumberFormat="1" applyFont="1" applyFill="1" applyBorder="1" applyAlignment="1">
      <alignment horizontal="right"/>
    </xf>
    <xf numFmtId="4" fontId="16" fillId="0" borderId="0" xfId="0" applyNumberFormat="1" applyFont="1" applyFill="1"/>
    <xf numFmtId="3" fontId="16" fillId="0" borderId="0" xfId="0" applyNumberFormat="1" applyFont="1" applyFill="1"/>
    <xf numFmtId="168" fontId="16" fillId="0" borderId="0" xfId="0" applyNumberFormat="1" applyFont="1" applyFill="1"/>
    <xf numFmtId="167" fontId="16" fillId="0" borderId="0" xfId="0" applyNumberFormat="1" applyFont="1" applyFill="1"/>
    <xf numFmtId="164" fontId="16" fillId="0" borderId="0" xfId="0" applyNumberFormat="1" applyFont="1" applyFill="1"/>
    <xf numFmtId="0" fontId="4" fillId="5" borderId="34" xfId="0" applyFont="1" applyFill="1" applyBorder="1" applyAlignment="1">
      <alignment horizontal="center"/>
    </xf>
    <xf numFmtId="168" fontId="0" fillId="0" borderId="0" xfId="0" applyNumberFormat="1" applyFont="1"/>
    <xf numFmtId="0" fontId="4" fillId="0" borderId="29" xfId="0" applyFont="1" applyFill="1" applyBorder="1" applyAlignment="1">
      <alignment horizontal="center"/>
    </xf>
    <xf numFmtId="0" fontId="5" fillId="0" borderId="34" xfId="0" applyFont="1" applyFill="1" applyBorder="1"/>
    <xf numFmtId="0" fontId="4" fillId="0" borderId="9" xfId="0" applyFont="1" applyFill="1" applyBorder="1" applyAlignment="1">
      <alignment horizontal="left"/>
    </xf>
    <xf numFmtId="0" fontId="8" fillId="0" borderId="8" xfId="0" applyFont="1" applyFill="1" applyBorder="1"/>
    <xf numFmtId="0" fontId="8" fillId="0" borderId="6" xfId="0" applyFont="1" applyFill="1" applyBorder="1"/>
    <xf numFmtId="0" fontId="5" fillId="0" borderId="8" xfId="0" applyFont="1" applyFill="1" applyBorder="1"/>
    <xf numFmtId="3" fontId="5" fillId="0" borderId="23" xfId="0" applyNumberFormat="1" applyFont="1" applyFill="1" applyBorder="1"/>
    <xf numFmtId="0" fontId="5" fillId="0" borderId="22" xfId="0" applyFont="1" applyFill="1" applyBorder="1"/>
    <xf numFmtId="3" fontId="5" fillId="0" borderId="20" xfId="0" applyNumberFormat="1" applyFont="1" applyFill="1" applyBorder="1"/>
    <xf numFmtId="3" fontId="19" fillId="0" borderId="8" xfId="0" applyNumberFormat="1" applyFont="1" applyFill="1" applyBorder="1" applyAlignment="1">
      <alignment horizontal="left"/>
    </xf>
    <xf numFmtId="3" fontId="5" fillId="0" borderId="46" xfId="0" applyNumberFormat="1" applyFont="1" applyFill="1" applyBorder="1"/>
    <xf numFmtId="0" fontId="5" fillId="0" borderId="21" xfId="0" applyFont="1" applyFill="1" applyBorder="1"/>
    <xf numFmtId="0" fontId="6" fillId="0" borderId="8" xfId="0" applyFont="1" applyFill="1" applyBorder="1"/>
    <xf numFmtId="3" fontId="4" fillId="0" borderId="30" xfId="0" applyNumberFormat="1" applyFont="1" applyFill="1" applyBorder="1"/>
    <xf numFmtId="0" fontId="5" fillId="0" borderId="47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3" xfId="0" applyFont="1" applyFill="1" applyBorder="1"/>
    <xf numFmtId="3" fontId="5" fillId="0" borderId="38" xfId="0" applyNumberFormat="1" applyFont="1" applyFill="1" applyBorder="1"/>
    <xf numFmtId="0" fontId="5" fillId="0" borderId="41" xfId="0" applyFont="1" applyFill="1" applyBorder="1"/>
    <xf numFmtId="0" fontId="4" fillId="0" borderId="54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52" fillId="0" borderId="5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2" fillId="0" borderId="2" xfId="0" applyFont="1" applyBorder="1" applyAlignment="1">
      <alignment horizontal="center" vertical="center" textRotation="90"/>
    </xf>
    <xf numFmtId="0" fontId="6" fillId="0" borderId="5" xfId="0" applyFont="1" applyBorder="1" applyAlignment="1">
      <alignment textRotation="90"/>
    </xf>
  </cellXfs>
  <cellStyles count="4">
    <cellStyle name="Normální" xfId="0" builtinId="0"/>
    <cellStyle name="Normální 2" xfId="1"/>
    <cellStyle name="Normální 3" xfId="3"/>
    <cellStyle name="Procenta" xfId="2" builtinId="5"/>
  </cellStyles>
  <dxfs count="8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CC"/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3:D23" totalsRowShown="0" headerRowDxfId="7">
  <tableColumns count="4">
    <tableColumn id="1" name="název" dataDxfId="6"/>
    <tableColumn id="2" name="příjmy" dataDxfId="5"/>
    <tableColumn id="3" name="výdaje" dataDxfId="4"/>
    <tableColumn id="4" name="saldo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B3:D32" totalsRowShown="0" headerRowDxfId="2">
  <tableColumns count="3">
    <tableColumn id="1" name=":)"/>
    <tableColumn id="2" name="Závazné ukazatele rozpočtu na rok 2023" dataDxfId="1"/>
    <tableColumn id="3" name="v tis. Kč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2:U65"/>
  <sheetViews>
    <sheetView tabSelected="1" zoomScaleNormal="100" workbookViewId="0"/>
  </sheetViews>
  <sheetFormatPr defaultColWidth="7.85546875" defaultRowHeight="12.75" x14ac:dyDescent="0.2"/>
  <cols>
    <col min="1" max="1" width="7.42578125" style="64" customWidth="1"/>
    <col min="2" max="2" width="32.85546875" style="64" customWidth="1"/>
    <col min="3" max="3" width="10.28515625" style="68" customWidth="1"/>
    <col min="4" max="4" width="11.85546875" style="64" customWidth="1"/>
    <col min="5" max="5" width="12.140625" style="70" bestFit="1" customWidth="1"/>
    <col min="6" max="6" width="7.7109375" style="64" customWidth="1"/>
    <col min="7" max="7" width="12.42578125" style="64" hidden="1" customWidth="1"/>
    <col min="8" max="8" width="11.42578125" style="64" hidden="1" customWidth="1"/>
    <col min="9" max="9" width="11.28515625" style="64" hidden="1" customWidth="1"/>
    <col min="10" max="10" width="13" style="64" hidden="1" customWidth="1"/>
    <col min="11" max="11" width="10" style="64" hidden="1" customWidth="1"/>
    <col min="12" max="12" width="8.5703125" style="64" hidden="1" customWidth="1"/>
    <col min="13" max="13" width="12.5703125" style="64" customWidth="1"/>
    <col min="14" max="14" width="9.42578125" style="368" customWidth="1"/>
    <col min="15" max="15" width="12.28515625" style="64" customWidth="1"/>
    <col min="16" max="16" width="9.140625" style="64" customWidth="1"/>
    <col min="17" max="17" width="12.42578125" style="64" hidden="1" customWidth="1"/>
    <col min="18" max="18" width="7.5703125" style="64" hidden="1" customWidth="1"/>
    <col min="19" max="19" width="15" style="64" customWidth="1"/>
    <col min="20" max="20" width="11.28515625" style="64" customWidth="1"/>
    <col min="21" max="21" width="7.85546875" style="64" customWidth="1"/>
    <col min="22" max="16384" width="7.85546875" style="64"/>
  </cols>
  <sheetData>
    <row r="2" spans="1:21" s="1" customFormat="1" ht="18" x14ac:dyDescent="0.25">
      <c r="B2" s="69" t="s">
        <v>437</v>
      </c>
      <c r="C2" s="2"/>
      <c r="E2" s="87"/>
      <c r="N2" s="367"/>
    </row>
    <row r="3" spans="1:21" s="1" customFormat="1" ht="15.75" x14ac:dyDescent="0.25">
      <c r="B3" s="3" t="s">
        <v>575</v>
      </c>
      <c r="C3" s="2"/>
      <c r="E3" s="87"/>
      <c r="N3" s="367"/>
    </row>
    <row r="4" spans="1:21" s="1" customFormat="1" ht="15.75" x14ac:dyDescent="0.25">
      <c r="B4" s="3" t="s">
        <v>576</v>
      </c>
      <c r="C4" s="2"/>
      <c r="E4" s="87"/>
      <c r="N4" s="367"/>
    </row>
    <row r="5" spans="1:21" s="1" customFormat="1" ht="15.75" x14ac:dyDescent="0.25">
      <c r="B5" s="3" t="s">
        <v>552</v>
      </c>
      <c r="C5" s="2"/>
      <c r="E5" s="87"/>
      <c r="N5" s="367"/>
    </row>
    <row r="6" spans="1:21" s="1" customFormat="1" ht="15.75" x14ac:dyDescent="0.25">
      <c r="B6" s="3"/>
      <c r="C6" s="2"/>
      <c r="E6" s="87"/>
      <c r="N6" s="367"/>
    </row>
    <row r="7" spans="1:21" ht="13.5" thickBot="1" x14ac:dyDescent="0.25">
      <c r="B7" s="3" t="s">
        <v>379</v>
      </c>
    </row>
    <row r="8" spans="1:21" s="3" customFormat="1" x14ac:dyDescent="0.2">
      <c r="A8" s="91"/>
      <c r="B8" s="4"/>
      <c r="C8" s="5" t="s">
        <v>2</v>
      </c>
      <c r="D8" s="81" t="s">
        <v>123</v>
      </c>
      <c r="E8" s="88" t="s">
        <v>95</v>
      </c>
      <c r="F8" s="6" t="s">
        <v>4</v>
      </c>
      <c r="G8" s="51" t="s">
        <v>5</v>
      </c>
      <c r="H8" s="6" t="s">
        <v>4</v>
      </c>
      <c r="I8" s="51" t="s">
        <v>5</v>
      </c>
      <c r="J8" s="6" t="s">
        <v>4</v>
      </c>
      <c r="K8" s="51" t="s">
        <v>5</v>
      </c>
      <c r="L8" s="6" t="s">
        <v>4</v>
      </c>
      <c r="M8" s="331" t="s">
        <v>5</v>
      </c>
      <c r="N8" s="6" t="s">
        <v>4</v>
      </c>
      <c r="O8" s="404" t="s">
        <v>2</v>
      </c>
      <c r="P8" s="360" t="s">
        <v>394</v>
      </c>
      <c r="Q8" s="113" t="s">
        <v>458</v>
      </c>
      <c r="R8" s="355" t="s">
        <v>174</v>
      </c>
    </row>
    <row r="9" spans="1:21" s="3" customFormat="1" ht="13.5" thickBot="1" x14ac:dyDescent="0.25">
      <c r="A9" s="92"/>
      <c r="B9" s="7"/>
      <c r="C9" s="8">
        <v>2022</v>
      </c>
      <c r="D9" s="8">
        <v>2022</v>
      </c>
      <c r="E9" s="89" t="s">
        <v>91</v>
      </c>
      <c r="F9" s="54"/>
      <c r="G9" s="52" t="s">
        <v>385</v>
      </c>
      <c r="H9" s="9" t="s">
        <v>6</v>
      </c>
      <c r="I9" s="52" t="s">
        <v>386</v>
      </c>
      <c r="J9" s="9" t="s">
        <v>415</v>
      </c>
      <c r="K9" s="52" t="s">
        <v>387</v>
      </c>
      <c r="L9" s="9" t="s">
        <v>6</v>
      </c>
      <c r="M9" s="365" t="s">
        <v>388</v>
      </c>
      <c r="N9" s="369" t="s">
        <v>6</v>
      </c>
      <c r="O9" s="403">
        <v>2023</v>
      </c>
      <c r="P9" s="361" t="s">
        <v>395</v>
      </c>
      <c r="Q9" s="114" t="s">
        <v>389</v>
      </c>
      <c r="R9" s="356" t="s">
        <v>459</v>
      </c>
    </row>
    <row r="10" spans="1:21" x14ac:dyDescent="0.2">
      <c r="A10" s="93"/>
      <c r="B10" s="67" t="s">
        <v>7</v>
      </c>
      <c r="C10" s="10">
        <f>příjmy!F148</f>
        <v>103445</v>
      </c>
      <c r="D10" s="15">
        <f>+příjmy!G148</f>
        <v>196</v>
      </c>
      <c r="E10" s="10">
        <f>SUM(C10:D10)</f>
        <v>103641</v>
      </c>
      <c r="F10" s="55">
        <f>C10/C14</f>
        <v>0.55501604232168344</v>
      </c>
      <c r="G10" s="10">
        <f>+příjmy!I148</f>
        <v>32785.465900000003</v>
      </c>
      <c r="H10" s="11">
        <f>G10/$E10*100</f>
        <v>31.63368348433535</v>
      </c>
      <c r="I10" s="10">
        <f>+příjmy!K148</f>
        <v>62314.661700000004</v>
      </c>
      <c r="J10" s="11">
        <f>I10/$E10*100</f>
        <v>60.125492517440016</v>
      </c>
      <c r="K10" s="10">
        <f>příjmy!M148</f>
        <v>95159.963150000011</v>
      </c>
      <c r="L10" s="11">
        <f t="shared" ref="L10:L17" si="0">K10/$E10*100</f>
        <v>91.816909475979585</v>
      </c>
      <c r="M10" s="10">
        <f>+příjmy!O148</f>
        <v>125889.95433999998</v>
      </c>
      <c r="N10" s="370">
        <f t="shared" ref="N10:N17" si="1">M10/$E10*100</f>
        <v>121.46732889493539</v>
      </c>
      <c r="O10" s="362">
        <f>příjmy!S148</f>
        <v>117305</v>
      </c>
      <c r="P10" s="375">
        <f t="shared" ref="P10:P17" si="2">O10/C10</f>
        <v>1.1339842428343565</v>
      </c>
      <c r="Q10" s="104">
        <f>příjmy!O37</f>
        <v>125889.95433999998</v>
      </c>
      <c r="R10" s="357">
        <f>Q10-E10</f>
        <v>22248.954339999982</v>
      </c>
      <c r="U10" s="70"/>
    </row>
    <row r="11" spans="1:21" x14ac:dyDescent="0.2">
      <c r="A11" s="93"/>
      <c r="B11" s="67" t="s">
        <v>8</v>
      </c>
      <c r="C11" s="10">
        <f>příjmy!F149</f>
        <v>31040</v>
      </c>
      <c r="D11" s="15">
        <f>+příjmy!G149</f>
        <v>1782.8647000000001</v>
      </c>
      <c r="E11" s="10">
        <f>SUM(C11:D11)</f>
        <v>32822.864699999998</v>
      </c>
      <c r="F11" s="55">
        <f>C11/C14</f>
        <v>0.16653968730886029</v>
      </c>
      <c r="G11" s="10">
        <f>+příjmy!I149</f>
        <v>7779.3105299999997</v>
      </c>
      <c r="H11" s="11">
        <f t="shared" ref="H11:H16" si="3">G11/$E11*100</f>
        <v>23.700888393205972</v>
      </c>
      <c r="I11" s="10">
        <f>+příjmy!K149</f>
        <v>14282.142669999999</v>
      </c>
      <c r="J11" s="11">
        <f t="shared" ref="J11:J16" si="4">I11/$E11*100</f>
        <v>43.512785372448008</v>
      </c>
      <c r="K11" s="10">
        <f>příjmy!M149</f>
        <v>26125.295080000004</v>
      </c>
      <c r="L11" s="11">
        <f t="shared" si="0"/>
        <v>79.594804776439901</v>
      </c>
      <c r="M11" s="10">
        <f>+příjmy!O149</f>
        <v>36179.030879999998</v>
      </c>
      <c r="N11" s="370">
        <f t="shared" si="1"/>
        <v>110.22508611199923</v>
      </c>
      <c r="O11" s="362">
        <f>příjmy!S149</f>
        <v>34101</v>
      </c>
      <c r="P11" s="375">
        <f t="shared" si="2"/>
        <v>1.0986146907216494</v>
      </c>
      <c r="Q11" s="104">
        <f>příjmy!O99</f>
        <v>36179.030879999998</v>
      </c>
      <c r="R11" s="357">
        <f>Q11-E11</f>
        <v>3356.1661800000002</v>
      </c>
      <c r="U11" s="70"/>
    </row>
    <row r="12" spans="1:21" x14ac:dyDescent="0.2">
      <c r="A12" s="93"/>
      <c r="B12" s="67" t="s">
        <v>9</v>
      </c>
      <c r="C12" s="10">
        <f>příjmy!F152</f>
        <v>18097</v>
      </c>
      <c r="D12" s="15">
        <f>+příjmy!G152</f>
        <v>150</v>
      </c>
      <c r="E12" s="10">
        <f>SUM(C12:D12)</f>
        <v>18247</v>
      </c>
      <c r="F12" s="55">
        <f>C12/C14</f>
        <v>9.7096286122050415E-2</v>
      </c>
      <c r="G12" s="10">
        <f>+příjmy!I152</f>
        <v>8200</v>
      </c>
      <c r="H12" s="11">
        <f t="shared" si="3"/>
        <v>44.93889406477777</v>
      </c>
      <c r="I12" s="10">
        <f>+příjmy!K152</f>
        <v>8200</v>
      </c>
      <c r="J12" s="11">
        <f t="shared" si="4"/>
        <v>44.93889406477777</v>
      </c>
      <c r="K12" s="10">
        <f>příjmy!M152</f>
        <v>8364.4</v>
      </c>
      <c r="L12" s="11">
        <f t="shared" si="0"/>
        <v>45.839864087247214</v>
      </c>
      <c r="M12" s="10">
        <f>+příjmy!O152</f>
        <v>20702.163999999997</v>
      </c>
      <c r="N12" s="370">
        <f t="shared" si="1"/>
        <v>113.45516523264097</v>
      </c>
      <c r="O12" s="362">
        <f>příjmy!S152</f>
        <v>18387</v>
      </c>
      <c r="P12" s="375">
        <f t="shared" si="2"/>
        <v>1.0160247554843345</v>
      </c>
      <c r="Q12" s="104">
        <f>příjmy!O106</f>
        <v>20702.163999999997</v>
      </c>
      <c r="R12" s="357">
        <f>Q12-E12</f>
        <v>2455.163999999997</v>
      </c>
      <c r="U12" s="70"/>
    </row>
    <row r="13" spans="1:21" x14ac:dyDescent="0.2">
      <c r="A13" s="93"/>
      <c r="B13" s="67" t="s">
        <v>10</v>
      </c>
      <c r="C13" s="10">
        <f>příjmy!F150+příjmy!F153</f>
        <v>33800</v>
      </c>
      <c r="D13" s="15">
        <f>+příjmy!G150+příjmy!G153</f>
        <v>15003.899590000001</v>
      </c>
      <c r="E13" s="10">
        <f>SUM(C13:D13)</f>
        <v>48803.899590000001</v>
      </c>
      <c r="F13" s="55">
        <f>C13/C14</f>
        <v>0.18134798424740586</v>
      </c>
      <c r="G13" s="10">
        <f>+příjmy!I150+příjmy!I153</f>
        <v>8173.459499999999</v>
      </c>
      <c r="H13" s="11">
        <f t="shared" si="3"/>
        <v>16.747554127159862</v>
      </c>
      <c r="I13" s="10">
        <f>+příjmy!K150+příjmy!K153</f>
        <v>28998.472689999999</v>
      </c>
      <c r="J13" s="11">
        <f t="shared" si="4"/>
        <v>59.418351676024336</v>
      </c>
      <c r="K13" s="10">
        <f>příjmy!M150+příjmy!M153</f>
        <v>37173.577390000006</v>
      </c>
      <c r="L13" s="11">
        <f t="shared" si="0"/>
        <v>76.169276845280891</v>
      </c>
      <c r="M13" s="10">
        <f>+příjmy!O150+příjmy!O153</f>
        <v>47978.161390000001</v>
      </c>
      <c r="N13" s="370">
        <f t="shared" si="1"/>
        <v>98.30804872779224</v>
      </c>
      <c r="O13" s="362">
        <f>příjmy!S150+příjmy!S153</f>
        <v>35493</v>
      </c>
      <c r="P13" s="375">
        <f t="shared" si="2"/>
        <v>1.0500887573964497</v>
      </c>
      <c r="Q13" s="104">
        <f>příjmy!O144</f>
        <v>47978.161390000001</v>
      </c>
      <c r="R13" s="357">
        <f>Q13-E13</f>
        <v>-825.73819999999978</v>
      </c>
      <c r="U13" s="70"/>
    </row>
    <row r="14" spans="1:21" s="3" customFormat="1" x14ac:dyDescent="0.2">
      <c r="A14" s="94"/>
      <c r="B14" s="12" t="s">
        <v>11</v>
      </c>
      <c r="C14" s="13">
        <f>SUM(C10:C13)</f>
        <v>186382</v>
      </c>
      <c r="D14" s="16">
        <f>SUM(D10:D13)</f>
        <v>17132.764289999999</v>
      </c>
      <c r="E14" s="13">
        <f>SUM(E10:E13)</f>
        <v>203514.76429000002</v>
      </c>
      <c r="F14" s="56">
        <f>SUM(F10:F13)</f>
        <v>1</v>
      </c>
      <c r="G14" s="13">
        <f>SUM(G10:G13)</f>
        <v>56938.235930000003</v>
      </c>
      <c r="H14" s="14">
        <f>G14/$E14*100</f>
        <v>27.97744730149671</v>
      </c>
      <c r="I14" s="13">
        <f>SUM(I10:I13)</f>
        <v>113795.27705999999</v>
      </c>
      <c r="J14" s="14">
        <f>I14/$E14*100</f>
        <v>55.914998332920206</v>
      </c>
      <c r="K14" s="13">
        <f>SUM(K10:K13)</f>
        <v>166823.23561999999</v>
      </c>
      <c r="L14" s="14">
        <f t="shared" si="0"/>
        <v>81.97107281233113</v>
      </c>
      <c r="M14" s="13">
        <f>SUM(M10:M13)</f>
        <v>230749.31060999996</v>
      </c>
      <c r="N14" s="371">
        <f t="shared" si="1"/>
        <v>113.38209854946535</v>
      </c>
      <c r="O14" s="363">
        <f>SUM(O10:O13)</f>
        <v>205286</v>
      </c>
      <c r="P14" s="376">
        <f t="shared" si="2"/>
        <v>1.1014261033790818</v>
      </c>
      <c r="Q14" s="226">
        <f>SUM(Q10:Q13)</f>
        <v>230749.31060999996</v>
      </c>
      <c r="R14" s="358">
        <f>SUM(R10:R13)</f>
        <v>27234.546319999979</v>
      </c>
      <c r="U14" s="70"/>
    </row>
    <row r="15" spans="1:21" x14ac:dyDescent="0.2">
      <c r="A15" s="93"/>
      <c r="B15" s="67" t="s">
        <v>12</v>
      </c>
      <c r="C15" s="10">
        <f>+výdaje!E124</f>
        <v>174769</v>
      </c>
      <c r="D15" s="15">
        <f>+výdaje!H124</f>
        <v>6565.7462900000019</v>
      </c>
      <c r="E15" s="10">
        <f>SUM(C15:D15)</f>
        <v>181334.74629000001</v>
      </c>
      <c r="F15" s="55">
        <f>C15/C17</f>
        <v>0.80503466224463949</v>
      </c>
      <c r="G15" s="10">
        <f>+výdaje!M124</f>
        <v>39669.549010000002</v>
      </c>
      <c r="H15" s="11">
        <f t="shared" si="3"/>
        <v>21.87641906563146</v>
      </c>
      <c r="I15" s="10">
        <f>+výdaje!Q124</f>
        <v>80484.105609999999</v>
      </c>
      <c r="J15" s="11">
        <f t="shared" si="4"/>
        <v>44.384271220301926</v>
      </c>
      <c r="K15" s="10">
        <f>výdaje!U124</f>
        <v>120597.82463999999</v>
      </c>
      <c r="L15" s="11">
        <f t="shared" si="0"/>
        <v>66.505635079519536</v>
      </c>
      <c r="M15" s="10">
        <f>výdaje!Y124</f>
        <v>168387.05284999998</v>
      </c>
      <c r="N15" s="370">
        <f t="shared" si="1"/>
        <v>92.859783519208506</v>
      </c>
      <c r="O15" s="362">
        <f>+výdaje!AD124</f>
        <v>186357</v>
      </c>
      <c r="P15" s="375">
        <f t="shared" si="2"/>
        <v>1.0663046650149626</v>
      </c>
      <c r="Q15" s="228">
        <f>výdaje!Y124</f>
        <v>168387.05284999998</v>
      </c>
      <c r="R15" s="357">
        <f>Q15-E15</f>
        <v>-12947.693440000032</v>
      </c>
      <c r="T15" s="70"/>
      <c r="U15" s="70"/>
    </row>
    <row r="16" spans="1:21" x14ac:dyDescent="0.2">
      <c r="A16" s="93"/>
      <c r="B16" s="67" t="s">
        <v>13</v>
      </c>
      <c r="C16" s="10">
        <f>+výdaje!F124</f>
        <v>42326</v>
      </c>
      <c r="D16" s="15">
        <f>+výdaje!I124</f>
        <v>10567.018</v>
      </c>
      <c r="E16" s="10">
        <f>SUM(C16:D16)</f>
        <v>52893.017999999996</v>
      </c>
      <c r="F16" s="55">
        <f>C16/C17</f>
        <v>0.19496533775536057</v>
      </c>
      <c r="G16" s="10">
        <f>+výdaje!N124</f>
        <v>1782.65769</v>
      </c>
      <c r="H16" s="11">
        <f t="shared" si="3"/>
        <v>3.3703081378339959</v>
      </c>
      <c r="I16" s="10">
        <f>+výdaje!R124</f>
        <v>9698.7398600000015</v>
      </c>
      <c r="J16" s="11">
        <f t="shared" si="4"/>
        <v>18.336521958342409</v>
      </c>
      <c r="K16" s="10">
        <f>výdaje!V124</f>
        <v>18460.720369999999</v>
      </c>
      <c r="L16" s="11">
        <f t="shared" si="0"/>
        <v>34.901998539769465</v>
      </c>
      <c r="M16" s="10">
        <f>+výdaje!Z124</f>
        <v>39235.250590000003</v>
      </c>
      <c r="N16" s="370">
        <f t="shared" si="1"/>
        <v>74.178506112092151</v>
      </c>
      <c r="O16" s="362">
        <f>+výdaje!AE124</f>
        <v>52469</v>
      </c>
      <c r="P16" s="375">
        <f t="shared" si="2"/>
        <v>1.2396399376269904</v>
      </c>
      <c r="Q16" s="228">
        <f>výdaje!Z124</f>
        <v>39235.250590000003</v>
      </c>
      <c r="R16" s="357">
        <f>Q16-E16</f>
        <v>-13657.767409999993</v>
      </c>
      <c r="U16" s="70"/>
    </row>
    <row r="17" spans="1:21" s="3" customFormat="1" x14ac:dyDescent="0.2">
      <c r="A17" s="94"/>
      <c r="B17" s="12" t="s">
        <v>14</v>
      </c>
      <c r="C17" s="13">
        <f>SUM(C15:C16)</f>
        <v>217095</v>
      </c>
      <c r="D17" s="16">
        <f>SUM(D15:D16)</f>
        <v>17132.764290000003</v>
      </c>
      <c r="E17" s="13">
        <f>SUM(E15:E16)</f>
        <v>234227.76429000002</v>
      </c>
      <c r="F17" s="56">
        <v>1</v>
      </c>
      <c r="G17" s="13">
        <f>SUM(G15:G16)</f>
        <v>41452.206700000002</v>
      </c>
      <c r="H17" s="14">
        <f>G17/$E17*100</f>
        <v>17.697392461415273</v>
      </c>
      <c r="I17" s="13">
        <f>SUM(I15:I16)</f>
        <v>90182.84547</v>
      </c>
      <c r="J17" s="14">
        <f>I17/$E17*100</f>
        <v>38.502201369408802</v>
      </c>
      <c r="K17" s="13">
        <f>SUM(K15:K16)</f>
        <v>139058.54501</v>
      </c>
      <c r="L17" s="14">
        <f t="shared" si="0"/>
        <v>59.368941778323972</v>
      </c>
      <c r="M17" s="13">
        <f>SUM(M15:M16)</f>
        <v>207622.30343999999</v>
      </c>
      <c r="N17" s="371">
        <f t="shared" si="1"/>
        <v>88.64120104179473</v>
      </c>
      <c r="O17" s="363">
        <f>SUM(O15:O16)</f>
        <v>238826</v>
      </c>
      <c r="P17" s="377">
        <f t="shared" si="2"/>
        <v>1.1000990349846842</v>
      </c>
      <c r="Q17" s="227">
        <f>SUM(Q15:Q16)</f>
        <v>207622.30343999999</v>
      </c>
      <c r="R17" s="358">
        <f>SUM(R15:R16)</f>
        <v>-26605.460850000025</v>
      </c>
      <c r="S17" s="134"/>
      <c r="T17" s="134"/>
      <c r="U17" s="70"/>
    </row>
    <row r="18" spans="1:21" x14ac:dyDescent="0.2">
      <c r="A18" s="93"/>
      <c r="B18" s="67"/>
      <c r="C18" s="10"/>
      <c r="D18" s="62"/>
      <c r="E18" s="10"/>
      <c r="F18" s="57"/>
      <c r="G18" s="10"/>
      <c r="H18" s="14"/>
      <c r="I18" s="10"/>
      <c r="J18" s="14"/>
      <c r="K18" s="10"/>
      <c r="L18" s="14"/>
      <c r="M18" s="10"/>
      <c r="N18" s="371"/>
      <c r="O18" s="362"/>
      <c r="P18" s="378"/>
      <c r="Q18" s="104"/>
      <c r="R18" s="357"/>
    </row>
    <row r="19" spans="1:21" s="3" customFormat="1" x14ac:dyDescent="0.2">
      <c r="A19" s="94"/>
      <c r="B19" s="12" t="s">
        <v>15</v>
      </c>
      <c r="C19" s="13">
        <f>C14-C17</f>
        <v>-30713</v>
      </c>
      <c r="D19" s="13">
        <f>D14-D17</f>
        <v>0</v>
      </c>
      <c r="E19" s="13">
        <f>E14-E17</f>
        <v>-30713</v>
      </c>
      <c r="F19" s="58"/>
      <c r="G19" s="13">
        <f>G14-G17</f>
        <v>15486.02923</v>
      </c>
      <c r="H19" s="14"/>
      <c r="I19" s="13">
        <f>I14-I17</f>
        <v>23612.431589999993</v>
      </c>
      <c r="J19" s="11"/>
      <c r="K19" s="13">
        <f>K14-K17</f>
        <v>27764.690609999991</v>
      </c>
      <c r="L19" s="11"/>
      <c r="M19" s="13">
        <f>M14-M17</f>
        <v>23127.007169999968</v>
      </c>
      <c r="N19" s="370"/>
      <c r="O19" s="363">
        <f>O14-O17</f>
        <v>-33540</v>
      </c>
      <c r="P19" s="379"/>
      <c r="Q19" s="104">
        <f>Q14-Q17</f>
        <v>23127.007169999968</v>
      </c>
      <c r="R19" s="357">
        <f>Q19-E19</f>
        <v>53840.007169999968</v>
      </c>
      <c r="U19" s="134"/>
    </row>
    <row r="20" spans="1:21" x14ac:dyDescent="0.2">
      <c r="A20" s="93"/>
      <c r="B20" s="67"/>
      <c r="C20" s="10"/>
      <c r="D20" s="62"/>
      <c r="E20" s="10"/>
      <c r="F20" s="57"/>
      <c r="G20" s="10"/>
      <c r="H20" s="14"/>
      <c r="I20" s="10"/>
      <c r="J20" s="14"/>
      <c r="K20" s="10"/>
      <c r="L20" s="14"/>
      <c r="M20" s="10"/>
      <c r="N20" s="371"/>
      <c r="O20" s="362"/>
      <c r="P20" s="378"/>
      <c r="Q20" s="104"/>
      <c r="R20" s="357"/>
    </row>
    <row r="21" spans="1:21" s="3" customFormat="1" x14ac:dyDescent="0.2">
      <c r="A21" s="95" t="s">
        <v>16</v>
      </c>
      <c r="B21" s="12" t="s">
        <v>17</v>
      </c>
      <c r="C21" s="13"/>
      <c r="D21" s="63"/>
      <c r="E21" s="13"/>
      <c r="F21" s="58"/>
      <c r="G21" s="13"/>
      <c r="H21" s="14"/>
      <c r="I21" s="13"/>
      <c r="J21" s="14"/>
      <c r="K21" s="13"/>
      <c r="L21" s="14"/>
      <c r="M21" s="13"/>
      <c r="N21" s="371"/>
      <c r="O21" s="363"/>
      <c r="P21" s="379"/>
      <c r="Q21" s="104"/>
      <c r="R21" s="357"/>
    </row>
    <row r="22" spans="1:21" x14ac:dyDescent="0.2">
      <c r="A22" s="93">
        <v>8124</v>
      </c>
      <c r="B22" s="67" t="s">
        <v>277</v>
      </c>
      <c r="C22" s="10">
        <f>-2291-2000</f>
        <v>-4291</v>
      </c>
      <c r="D22" s="15"/>
      <c r="E22" s="10">
        <f>SUM(C22:D22)</f>
        <v>-4291</v>
      </c>
      <c r="F22" s="57"/>
      <c r="G22" s="10">
        <v>-2569.33</v>
      </c>
      <c r="H22" s="11">
        <f>G22/$E22*100</f>
        <v>59.877184805406657</v>
      </c>
      <c r="I22" s="10">
        <v>-3123.0349999999999</v>
      </c>
      <c r="J22" s="11">
        <f>I22/$E22*100</f>
        <v>72.781053367513394</v>
      </c>
      <c r="K22" s="10">
        <v>-3687.886</v>
      </c>
      <c r="L22" s="11">
        <f>K22/$E22*100</f>
        <v>85.944674900955491</v>
      </c>
      <c r="M22" s="125">
        <f>C22</f>
        <v>-4291</v>
      </c>
      <c r="N22" s="370">
        <f>M22/$E22*100</f>
        <v>100</v>
      </c>
      <c r="O22" s="362">
        <v>-2328</v>
      </c>
      <c r="P22" s="375">
        <f>-O22/C22</f>
        <v>-0.54253087858308091</v>
      </c>
      <c r="Q22" s="104">
        <f>-2291-2000</f>
        <v>-4291</v>
      </c>
      <c r="R22" s="357">
        <f t="shared" ref="R22:R27" si="5">Q22-E22</f>
        <v>0</v>
      </c>
      <c r="U22" s="70"/>
    </row>
    <row r="23" spans="1:21" x14ac:dyDescent="0.2">
      <c r="A23" s="96"/>
      <c r="B23" s="67"/>
      <c r="C23" s="10"/>
      <c r="D23" s="15"/>
      <c r="E23" s="10"/>
      <c r="F23" s="57"/>
      <c r="G23" s="10"/>
      <c r="H23" s="11"/>
      <c r="I23" s="10"/>
      <c r="J23" s="11"/>
      <c r="K23" s="10"/>
      <c r="L23" s="11"/>
      <c r="M23" s="10"/>
      <c r="N23" s="370"/>
      <c r="O23" s="362"/>
      <c r="P23" s="375"/>
      <c r="Q23" s="104"/>
      <c r="R23" s="357">
        <f t="shared" si="5"/>
        <v>0</v>
      </c>
    </row>
    <row r="24" spans="1:21" x14ac:dyDescent="0.2">
      <c r="A24" s="93">
        <v>8123</v>
      </c>
      <c r="B24" s="67" t="s">
        <v>289</v>
      </c>
      <c r="C24" s="15">
        <v>0</v>
      </c>
      <c r="D24" s="15"/>
      <c r="E24" s="10">
        <f>SUM(C24:D24)</f>
        <v>0</v>
      </c>
      <c r="F24" s="57"/>
      <c r="G24" s="15"/>
      <c r="H24" s="11"/>
      <c r="I24" s="15"/>
      <c r="J24" s="11"/>
      <c r="K24" s="15"/>
      <c r="L24" s="11"/>
      <c r="M24" s="15">
        <v>0</v>
      </c>
      <c r="N24" s="370"/>
      <c r="O24" s="362">
        <v>0</v>
      </c>
      <c r="P24" s="378"/>
      <c r="Q24" s="104"/>
      <c r="R24" s="357">
        <f t="shared" si="5"/>
        <v>0</v>
      </c>
    </row>
    <row r="25" spans="1:21" x14ac:dyDescent="0.2">
      <c r="A25" s="93">
        <v>8115</v>
      </c>
      <c r="B25" s="67" t="s">
        <v>314</v>
      </c>
      <c r="C25" s="10">
        <v>0</v>
      </c>
      <c r="D25" s="15"/>
      <c r="E25" s="10">
        <f t="shared" ref="E25:E26" si="6">SUM(C25:D25)</f>
        <v>0</v>
      </c>
      <c r="F25" s="57"/>
      <c r="G25" s="10"/>
      <c r="H25" s="11"/>
      <c r="I25" s="10"/>
      <c r="J25" s="11"/>
      <c r="K25" s="10"/>
      <c r="L25" s="11"/>
      <c r="M25" s="10">
        <v>0</v>
      </c>
      <c r="N25" s="370"/>
      <c r="O25" s="362">
        <v>0</v>
      </c>
      <c r="P25" s="378"/>
      <c r="Q25" s="104"/>
      <c r="R25" s="357">
        <f t="shared" si="5"/>
        <v>0</v>
      </c>
    </row>
    <row r="26" spans="1:21" hidden="1" x14ac:dyDescent="0.2">
      <c r="A26" s="93">
        <v>8115</v>
      </c>
      <c r="B26" s="67" t="s">
        <v>326</v>
      </c>
      <c r="C26" s="10">
        <v>0</v>
      </c>
      <c r="D26" s="15"/>
      <c r="E26" s="10">
        <f t="shared" si="6"/>
        <v>0</v>
      </c>
      <c r="F26" s="57"/>
      <c r="G26" s="10">
        <v>0</v>
      </c>
      <c r="H26" s="11"/>
      <c r="I26" s="10">
        <v>0</v>
      </c>
      <c r="J26" s="197"/>
      <c r="K26" s="10">
        <v>0</v>
      </c>
      <c r="L26" s="11"/>
      <c r="M26" s="10">
        <v>0</v>
      </c>
      <c r="N26" s="370"/>
      <c r="O26" s="362">
        <v>0</v>
      </c>
      <c r="P26" s="378"/>
      <c r="Q26" s="104"/>
      <c r="R26" s="357">
        <f t="shared" si="5"/>
        <v>0</v>
      </c>
    </row>
    <row r="27" spans="1:21" x14ac:dyDescent="0.2">
      <c r="A27" s="93">
        <v>8115</v>
      </c>
      <c r="B27" s="67" t="s">
        <v>545</v>
      </c>
      <c r="C27" s="10">
        <f>-C19-C22</f>
        <v>35004</v>
      </c>
      <c r="D27" s="15"/>
      <c r="E27" s="10">
        <f>SUM(C27:D27)</f>
        <v>35004</v>
      </c>
      <c r="F27" s="57"/>
      <c r="G27" s="10">
        <f>E27/4</f>
        <v>8751</v>
      </c>
      <c r="H27" s="11">
        <f>G27/$E27*100</f>
        <v>25</v>
      </c>
      <c r="I27" s="10">
        <f>E27/2</f>
        <v>17502</v>
      </c>
      <c r="J27" s="11">
        <f t="shared" ref="J27" si="7">I27/$E27*100</f>
        <v>50</v>
      </c>
      <c r="K27" s="10">
        <f>E27/4*3</f>
        <v>26253</v>
      </c>
      <c r="L27" s="11">
        <f t="shared" ref="L27" si="8">K27/$E27*100</f>
        <v>75</v>
      </c>
      <c r="M27" s="10">
        <f>C27</f>
        <v>35004</v>
      </c>
      <c r="N27" s="370">
        <f>M27/$E27*100</f>
        <v>100</v>
      </c>
      <c r="O27" s="362">
        <f>-O19-O22</f>
        <v>35868</v>
      </c>
      <c r="P27" s="378"/>
      <c r="Q27" s="104"/>
      <c r="R27" s="357">
        <f t="shared" si="5"/>
        <v>-35004</v>
      </c>
    </row>
    <row r="28" spans="1:21" x14ac:dyDescent="0.2">
      <c r="A28" s="93"/>
      <c r="B28" s="67"/>
      <c r="C28" s="10"/>
      <c r="D28" s="15"/>
      <c r="E28" s="10"/>
      <c r="F28" s="57"/>
      <c r="G28" s="10"/>
      <c r="H28" s="14"/>
      <c r="I28" s="10"/>
      <c r="J28" s="14"/>
      <c r="K28" s="10"/>
      <c r="L28" s="14"/>
      <c r="M28" s="10"/>
      <c r="N28" s="371"/>
      <c r="O28" s="362"/>
      <c r="P28" s="378"/>
      <c r="Q28" s="104"/>
      <c r="R28" s="357"/>
    </row>
    <row r="29" spans="1:21" x14ac:dyDescent="0.2">
      <c r="A29" s="93"/>
      <c r="B29" s="12" t="s">
        <v>124</v>
      </c>
      <c r="C29" s="119">
        <f>-C22-C24+C31-C27-C23-C25-C26</f>
        <v>0</v>
      </c>
      <c r="D29" s="16">
        <f>-D22-D24+D31-D27-D23-D25-D26</f>
        <v>0</v>
      </c>
      <c r="E29" s="16">
        <f>-E22-E24+E31-E27-E23-E25-E26</f>
        <v>0</v>
      </c>
      <c r="F29" s="57"/>
      <c r="G29" s="16">
        <f>-G22-G24+G31-G27-G23-G25-G26</f>
        <v>-21667.699229999998</v>
      </c>
      <c r="H29" s="57"/>
      <c r="I29" s="16">
        <f>-I22-I24+I31-I27-I23-I25-I26</f>
        <v>-37991.396589999989</v>
      </c>
      <c r="J29" s="57"/>
      <c r="K29" s="16">
        <f>-K22-K24+K31-K27-K23-K25-K26</f>
        <v>-50329.804609999992</v>
      </c>
      <c r="L29" s="57"/>
      <c r="M29" s="16">
        <f>-M22-M24+M31-M27-M23-M25-M26</f>
        <v>-53840.007169999968</v>
      </c>
      <c r="N29" s="372"/>
      <c r="O29" s="363">
        <f>-O22-O24+O31-O27-O23-O25-O26</f>
        <v>0</v>
      </c>
      <c r="P29" s="378"/>
      <c r="Q29" s="227">
        <f>-Q22-Q24+Q31-Q27-Q23-Q25-Q26</f>
        <v>-18836.007169999968</v>
      </c>
      <c r="R29" s="357">
        <f>Q29-E29</f>
        <v>-18836.007169999968</v>
      </c>
      <c r="U29" s="70"/>
    </row>
    <row r="30" spans="1:21" s="3" customFormat="1" x14ac:dyDescent="0.2">
      <c r="A30" s="94"/>
      <c r="B30" s="67"/>
      <c r="C30" s="13"/>
      <c r="D30" s="16"/>
      <c r="E30" s="13"/>
      <c r="F30" s="37"/>
      <c r="G30" s="13"/>
      <c r="H30" s="14"/>
      <c r="I30" s="13"/>
      <c r="J30" s="14"/>
      <c r="K30" s="13"/>
      <c r="L30" s="14"/>
      <c r="M30" s="13"/>
      <c r="N30" s="371"/>
      <c r="O30" s="363"/>
      <c r="P30" s="379"/>
      <c r="Q30" s="104"/>
      <c r="R30" s="357"/>
    </row>
    <row r="31" spans="1:21" ht="13.5" thickBot="1" x14ac:dyDescent="0.25">
      <c r="A31" s="97"/>
      <c r="B31" s="72" t="s">
        <v>18</v>
      </c>
      <c r="C31" s="53">
        <f>-C19</f>
        <v>30713</v>
      </c>
      <c r="D31" s="84">
        <f>-D19</f>
        <v>0</v>
      </c>
      <c r="E31" s="84">
        <f>-E19</f>
        <v>30713</v>
      </c>
      <c r="F31" s="59"/>
      <c r="G31" s="53">
        <f>-G19</f>
        <v>-15486.02923</v>
      </c>
      <c r="H31" s="17"/>
      <c r="I31" s="53">
        <f>-I19</f>
        <v>-23612.431589999993</v>
      </c>
      <c r="J31" s="17"/>
      <c r="K31" s="53">
        <f>-K19</f>
        <v>-27764.690609999991</v>
      </c>
      <c r="L31" s="17"/>
      <c r="M31" s="53">
        <f>-M19</f>
        <v>-23127.007169999968</v>
      </c>
      <c r="N31" s="373"/>
      <c r="O31" s="364">
        <f>-O19</f>
        <v>33540</v>
      </c>
      <c r="P31" s="380"/>
      <c r="Q31" s="115">
        <f>-Q19</f>
        <v>-23127.007169999968</v>
      </c>
      <c r="R31" s="359">
        <f>Q31-E31</f>
        <v>-53840.007169999968</v>
      </c>
      <c r="U31" s="70"/>
    </row>
    <row r="32" spans="1:21" x14ac:dyDescent="0.2">
      <c r="C32" s="18"/>
      <c r="E32" s="47"/>
      <c r="F32" s="19"/>
      <c r="G32" s="19"/>
      <c r="H32" s="19"/>
      <c r="I32" s="19"/>
      <c r="J32" s="19"/>
      <c r="K32" s="19"/>
      <c r="L32" s="19"/>
      <c r="M32" s="19"/>
      <c r="N32" s="374"/>
      <c r="O32" s="19"/>
    </row>
    <row r="33" spans="2:15" x14ac:dyDescent="0.2">
      <c r="B33" s="98"/>
      <c r="F33" s="100"/>
      <c r="M33" s="70"/>
      <c r="O33" s="127"/>
    </row>
    <row r="34" spans="2:15" ht="12.75" customHeight="1" x14ac:dyDescent="0.2">
      <c r="B34" s="124"/>
      <c r="C34" s="19"/>
      <c r="D34" s="19"/>
      <c r="E34" s="98"/>
      <c r="F34" s="100"/>
      <c r="M34" s="70"/>
      <c r="O34" s="127"/>
    </row>
    <row r="35" spans="2:15" x14ac:dyDescent="0.2">
      <c r="B35" s="124" t="s">
        <v>573</v>
      </c>
      <c r="C35" s="19"/>
      <c r="D35" s="19"/>
      <c r="E35" s="98"/>
      <c r="F35" s="100"/>
      <c r="I35" s="196"/>
      <c r="M35" s="70" t="s">
        <v>571</v>
      </c>
      <c r="O35" s="70"/>
    </row>
    <row r="36" spans="2:15" x14ac:dyDescent="0.2">
      <c r="B36" s="101"/>
      <c r="C36" s="98"/>
      <c r="D36" s="98"/>
      <c r="E36" s="120"/>
      <c r="F36" s="100"/>
      <c r="I36" s="195"/>
      <c r="M36" s="70" t="s">
        <v>572</v>
      </c>
    </row>
    <row r="37" spans="2:15" x14ac:dyDescent="0.2">
      <c r="B37" s="101"/>
      <c r="E37" s="120"/>
      <c r="F37" s="100"/>
      <c r="M37" s="70"/>
    </row>
    <row r="38" spans="2:15" x14ac:dyDescent="0.2">
      <c r="E38" s="120"/>
      <c r="F38" s="100"/>
      <c r="M38" s="123"/>
    </row>
    <row r="39" spans="2:15" x14ac:dyDescent="0.2">
      <c r="B39" s="572" t="s">
        <v>574</v>
      </c>
      <c r="F39" s="100"/>
      <c r="M39" s="70"/>
    </row>
    <row r="40" spans="2:15" x14ac:dyDescent="0.2">
      <c r="B40" s="101"/>
      <c r="F40" s="100"/>
      <c r="M40" s="70"/>
      <c r="O40" s="70"/>
    </row>
    <row r="41" spans="2:15" x14ac:dyDescent="0.2">
      <c r="B41" s="101"/>
      <c r="F41" s="100"/>
      <c r="M41" s="70"/>
      <c r="N41" s="79"/>
    </row>
    <row r="42" spans="2:15" x14ac:dyDescent="0.2">
      <c r="B42" s="102"/>
      <c r="F42" s="100"/>
    </row>
    <row r="43" spans="2:15" x14ac:dyDescent="0.2">
      <c r="B43" s="102"/>
      <c r="F43" s="100"/>
    </row>
    <row r="44" spans="2:15" x14ac:dyDescent="0.2">
      <c r="B44" s="101"/>
      <c r="F44" s="100"/>
    </row>
    <row r="45" spans="2:15" x14ac:dyDescent="0.2">
      <c r="B45" s="101"/>
      <c r="F45" s="100"/>
    </row>
    <row r="46" spans="2:15" x14ac:dyDescent="0.2">
      <c r="B46" s="101"/>
      <c r="F46" s="100"/>
    </row>
    <row r="47" spans="2:15" x14ac:dyDescent="0.2">
      <c r="B47" s="101"/>
      <c r="D47" s="193"/>
      <c r="F47" s="100"/>
    </row>
    <row r="48" spans="2:15" x14ac:dyDescent="0.2">
      <c r="B48" s="101"/>
      <c r="F48" s="100"/>
    </row>
    <row r="49" spans="2:15" x14ac:dyDescent="0.2">
      <c r="B49" s="101"/>
      <c r="F49" s="100"/>
    </row>
    <row r="50" spans="2:15" x14ac:dyDescent="0.2">
      <c r="B50" s="101"/>
      <c r="F50" s="100"/>
    </row>
    <row r="51" spans="2:15" x14ac:dyDescent="0.2">
      <c r="B51" s="101"/>
      <c r="D51" s="70"/>
      <c r="F51" s="100"/>
    </row>
    <row r="52" spans="2:15" x14ac:dyDescent="0.2">
      <c r="B52" s="101"/>
      <c r="F52" s="100"/>
    </row>
    <row r="53" spans="2:15" x14ac:dyDescent="0.2">
      <c r="B53" s="101"/>
      <c r="F53" s="100"/>
    </row>
    <row r="54" spans="2:15" x14ac:dyDescent="0.2">
      <c r="B54" s="101"/>
      <c r="F54" s="100"/>
      <c r="O54" s="133"/>
    </row>
    <row r="55" spans="2:15" x14ac:dyDescent="0.2">
      <c r="B55" s="102"/>
      <c r="F55" s="100"/>
    </row>
    <row r="56" spans="2:15" x14ac:dyDescent="0.2">
      <c r="B56" s="102"/>
      <c r="F56" s="100"/>
    </row>
    <row r="57" spans="2:15" x14ac:dyDescent="0.2">
      <c r="B57" s="102"/>
      <c r="F57" s="100"/>
    </row>
    <row r="58" spans="2:15" x14ac:dyDescent="0.2">
      <c r="B58" s="102"/>
      <c r="F58" s="100"/>
    </row>
    <row r="59" spans="2:15" x14ac:dyDescent="0.2">
      <c r="B59" s="102"/>
      <c r="F59" s="100"/>
    </row>
    <row r="60" spans="2:15" x14ac:dyDescent="0.2">
      <c r="B60" s="102"/>
      <c r="F60" s="100"/>
    </row>
    <row r="61" spans="2:15" x14ac:dyDescent="0.2">
      <c r="B61" s="102"/>
      <c r="F61" s="100"/>
    </row>
    <row r="62" spans="2:15" x14ac:dyDescent="0.2">
      <c r="B62" s="102"/>
      <c r="F62" s="100"/>
    </row>
    <row r="63" spans="2:15" x14ac:dyDescent="0.2">
      <c r="B63" s="102"/>
      <c r="F63" s="100"/>
    </row>
    <row r="64" spans="2:15" x14ac:dyDescent="0.2">
      <c r="B64" s="102"/>
      <c r="F64" s="100"/>
    </row>
    <row r="65" spans="6:6" x14ac:dyDescent="0.2">
      <c r="F65" s="68"/>
    </row>
  </sheetData>
  <phoneticPr fontId="6" type="noConversion"/>
  <pageMargins left="0.59055118110236227" right="0.27559055118110237" top="0.59055118110236227" bottom="0" header="0.23622047244094491" footer="0.27559055118110237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T168"/>
  <sheetViews>
    <sheetView zoomScale="106" zoomScaleNormal="106" workbookViewId="0">
      <pane ySplit="3" topLeftCell="A4" activePane="bottomLeft" state="frozen"/>
      <selection pane="bottomLeft"/>
    </sheetView>
  </sheetViews>
  <sheetFormatPr defaultColWidth="7.85546875" defaultRowHeight="12.75" x14ac:dyDescent="0.2"/>
  <cols>
    <col min="1" max="1" width="4" style="64" customWidth="1"/>
    <col min="2" max="2" width="5.140625" style="64" customWidth="1"/>
    <col min="3" max="3" width="7" style="19" customWidth="1"/>
    <col min="4" max="4" width="9.28515625" style="64" customWidth="1"/>
    <col min="5" max="5" width="27.140625" style="64" customWidth="1"/>
    <col min="6" max="6" width="10.42578125" style="70" bestFit="1" customWidth="1"/>
    <col min="7" max="7" width="7.140625" style="70" customWidth="1"/>
    <col min="8" max="8" width="8.5703125" style="78" bestFit="1" customWidth="1"/>
    <col min="9" max="9" width="7.42578125" style="133" hidden="1" customWidth="1"/>
    <col min="10" max="10" width="6.28515625" style="64" hidden="1" customWidth="1"/>
    <col min="11" max="11" width="9.140625" style="70" hidden="1" customWidth="1"/>
    <col min="12" max="12" width="8" style="68" hidden="1" customWidth="1"/>
    <col min="13" max="13" width="9.7109375" style="70" hidden="1" customWidth="1"/>
    <col min="14" max="14" width="5.85546875" style="64" hidden="1" customWidth="1"/>
    <col min="15" max="15" width="11" style="70" bestFit="1" customWidth="1"/>
    <col min="16" max="16" width="7.7109375" style="64" bestFit="1" customWidth="1"/>
    <col min="17" max="17" width="7" style="213" bestFit="1" customWidth="1"/>
    <col min="18" max="18" width="15.5703125" style="218" customWidth="1"/>
    <col min="19" max="19" width="10.42578125" style="112" customWidth="1"/>
    <col min="20" max="20" width="6.140625" style="19" customWidth="1"/>
    <col min="21" max="16384" width="7.85546875" style="64"/>
  </cols>
  <sheetData>
    <row r="1" spans="1:20" ht="18" x14ac:dyDescent="0.25">
      <c r="A1" s="420" t="s">
        <v>569</v>
      </c>
      <c r="B1" s="421"/>
      <c r="C1" s="421"/>
      <c r="D1" s="421"/>
      <c r="E1" s="421"/>
      <c r="F1" s="422"/>
      <c r="G1" s="422"/>
      <c r="H1" s="423"/>
      <c r="I1" s="424"/>
      <c r="J1" s="425"/>
      <c r="K1" s="422"/>
      <c r="L1" s="425"/>
      <c r="M1" s="422"/>
      <c r="N1" s="425"/>
      <c r="O1" s="422"/>
      <c r="P1" s="425"/>
      <c r="Q1" s="426"/>
      <c r="R1" s="427"/>
      <c r="S1" s="428"/>
      <c r="T1" s="429"/>
    </row>
    <row r="2" spans="1:20" x14ac:dyDescent="0.2">
      <c r="A2" s="430"/>
      <c r="B2" s="430"/>
      <c r="C2" s="430"/>
      <c r="D2" s="430"/>
      <c r="E2" s="431"/>
      <c r="F2" s="432" t="s">
        <v>324</v>
      </c>
      <c r="G2" s="432"/>
      <c r="H2" s="433" t="s">
        <v>95</v>
      </c>
      <c r="I2" s="434" t="s">
        <v>5</v>
      </c>
      <c r="J2" s="435" t="s">
        <v>5</v>
      </c>
      <c r="K2" s="432" t="s">
        <v>5</v>
      </c>
      <c r="L2" s="435" t="s">
        <v>5</v>
      </c>
      <c r="M2" s="432" t="s">
        <v>5</v>
      </c>
      <c r="N2" s="435" t="s">
        <v>5</v>
      </c>
      <c r="O2" s="436" t="s">
        <v>5</v>
      </c>
      <c r="P2" s="435" t="s">
        <v>5</v>
      </c>
      <c r="Q2" s="437" t="s">
        <v>174</v>
      </c>
      <c r="R2" s="438" t="s">
        <v>19</v>
      </c>
      <c r="S2" s="405" t="s">
        <v>384</v>
      </c>
      <c r="T2" s="435" t="s">
        <v>396</v>
      </c>
    </row>
    <row r="3" spans="1:20" ht="13.5" thickBot="1" x14ac:dyDescent="0.25">
      <c r="A3" s="439"/>
      <c r="B3" s="439" t="s">
        <v>20</v>
      </c>
      <c r="C3" s="440" t="s">
        <v>21</v>
      </c>
      <c r="D3" s="439" t="s">
        <v>22</v>
      </c>
      <c r="E3" s="439" t="s">
        <v>23</v>
      </c>
      <c r="F3" s="441"/>
      <c r="G3" s="441" t="s">
        <v>123</v>
      </c>
      <c r="H3" s="442" t="s">
        <v>91</v>
      </c>
      <c r="I3" s="443" t="s">
        <v>385</v>
      </c>
      <c r="J3" s="440" t="s">
        <v>4</v>
      </c>
      <c r="K3" s="441" t="s">
        <v>386</v>
      </c>
      <c r="L3" s="444" t="s">
        <v>4</v>
      </c>
      <c r="M3" s="441" t="s">
        <v>387</v>
      </c>
      <c r="N3" s="440" t="s">
        <v>4</v>
      </c>
      <c r="O3" s="445" t="s">
        <v>388</v>
      </c>
      <c r="P3" s="440" t="s">
        <v>4</v>
      </c>
      <c r="Q3" s="446" t="s">
        <v>168</v>
      </c>
      <c r="R3" s="447" t="s">
        <v>102</v>
      </c>
      <c r="S3" s="406"/>
      <c r="T3" s="440" t="s">
        <v>4</v>
      </c>
    </row>
    <row r="4" spans="1:20" x14ac:dyDescent="0.2">
      <c r="A4" s="448" t="s">
        <v>24</v>
      </c>
      <c r="B4" s="350"/>
      <c r="C4" s="350"/>
      <c r="D4" s="350"/>
      <c r="E4" s="448" t="s">
        <v>25</v>
      </c>
      <c r="F4" s="449"/>
      <c r="G4" s="449"/>
      <c r="H4" s="450"/>
      <c r="I4" s="449"/>
      <c r="J4" s="451"/>
      <c r="K4" s="449"/>
      <c r="L4" s="451"/>
      <c r="M4" s="449"/>
      <c r="N4" s="451"/>
      <c r="O4" s="449"/>
      <c r="P4" s="451"/>
      <c r="Q4" s="452"/>
      <c r="R4" s="453"/>
      <c r="S4" s="407"/>
      <c r="T4" s="451"/>
    </row>
    <row r="5" spans="1:20" x14ac:dyDescent="0.2">
      <c r="A5" s="448" t="s">
        <v>26</v>
      </c>
      <c r="B5" s="350"/>
      <c r="C5" s="350"/>
      <c r="D5" s="350"/>
      <c r="E5" s="350"/>
      <c r="F5" s="449">
        <f>SUM(F6:F12)</f>
        <v>87780</v>
      </c>
      <c r="G5" s="449">
        <f>SUM(G6:G12)</f>
        <v>196</v>
      </c>
      <c r="H5" s="449">
        <f>SUM(H6:H12)</f>
        <v>87976</v>
      </c>
      <c r="I5" s="449">
        <f>SUM(I6:I12)</f>
        <v>28154.682690000001</v>
      </c>
      <c r="J5" s="455">
        <f t="shared" ref="J5:J12" si="0">I5/$H5*100</f>
        <v>32.002685607438394</v>
      </c>
      <c r="K5" s="449">
        <f>SUM(K6:K12)</f>
        <v>50256.58599</v>
      </c>
      <c r="L5" s="455">
        <f t="shared" ref="L5:L12" si="1">K5/$H5*100</f>
        <v>57.125336444030197</v>
      </c>
      <c r="M5" s="449">
        <f>SUM(M6:M12)</f>
        <v>79426.549540000007</v>
      </c>
      <c r="N5" s="455">
        <f t="shared" ref="N5:N12" si="2">M5/$H5*100</f>
        <v>90.282065040465582</v>
      </c>
      <c r="O5" s="449">
        <f>SUM(O6:O12)</f>
        <v>105320.12854999999</v>
      </c>
      <c r="P5" s="455">
        <f t="shared" ref="P5:P12" si="3">O5/$H5*100</f>
        <v>119.71461370146403</v>
      </c>
      <c r="Q5" s="456">
        <f>SUM(Q6:Q12)</f>
        <v>17344.128549999998</v>
      </c>
      <c r="R5" s="457"/>
      <c r="S5" s="407">
        <f>SUM(S6:S12)</f>
        <v>102105</v>
      </c>
      <c r="T5" s="451">
        <f>S5/$F5*100</f>
        <v>116.3192071086808</v>
      </c>
    </row>
    <row r="6" spans="1:20" x14ac:dyDescent="0.2">
      <c r="A6" s="458" t="s">
        <v>27</v>
      </c>
      <c r="B6" s="459">
        <v>1111</v>
      </c>
      <c r="C6" s="459"/>
      <c r="D6" s="460"/>
      <c r="E6" s="459" t="s">
        <v>105</v>
      </c>
      <c r="F6" s="461">
        <v>13000</v>
      </c>
      <c r="G6" s="462"/>
      <c r="H6" s="345">
        <f t="shared" ref="H6:H12" si="4">SUM(F6:G6)</f>
        <v>13000</v>
      </c>
      <c r="I6" s="345">
        <v>3367.9269899999999</v>
      </c>
      <c r="J6" s="463">
        <f t="shared" si="0"/>
        <v>25.907130692307689</v>
      </c>
      <c r="K6" s="345">
        <f>6529.9495</f>
        <v>6529.9494999999997</v>
      </c>
      <c r="L6" s="463">
        <f t="shared" si="1"/>
        <v>50.230380769230763</v>
      </c>
      <c r="M6" s="345">
        <v>10564.0445</v>
      </c>
      <c r="N6" s="463">
        <f t="shared" si="2"/>
        <v>81.261880769230771</v>
      </c>
      <c r="O6" s="464">
        <v>14910.9247</v>
      </c>
      <c r="P6" s="463">
        <f t="shared" si="3"/>
        <v>114.69942076923077</v>
      </c>
      <c r="Q6" s="465">
        <f>O6-H6</f>
        <v>1910.9246999999996</v>
      </c>
      <c r="R6" s="466" t="s">
        <v>110</v>
      </c>
      <c r="S6" s="408">
        <v>15000</v>
      </c>
      <c r="T6" s="463">
        <f t="shared" ref="T6:T69" si="5">S6/$F6*100</f>
        <v>115.38461538461537</v>
      </c>
    </row>
    <row r="7" spans="1:20" x14ac:dyDescent="0.2">
      <c r="A7" s="458"/>
      <c r="B7" s="459">
        <v>1112</v>
      </c>
      <c r="C7" s="459"/>
      <c r="D7" s="458"/>
      <c r="E7" s="459" t="s">
        <v>180</v>
      </c>
      <c r="F7" s="461">
        <v>400</v>
      </c>
      <c r="G7" s="462"/>
      <c r="H7" s="345">
        <f t="shared" si="4"/>
        <v>400</v>
      </c>
      <c r="I7" s="345">
        <v>258.22694000000001</v>
      </c>
      <c r="J7" s="463">
        <f t="shared" si="0"/>
        <v>64.556735000000003</v>
      </c>
      <c r="K7" s="345">
        <v>258.22694000000001</v>
      </c>
      <c r="L7" s="463">
        <f t="shared" si="1"/>
        <v>64.556735000000003</v>
      </c>
      <c r="M7" s="345">
        <v>936.20890999999995</v>
      </c>
      <c r="N7" s="463">
        <f t="shared" si="2"/>
        <v>234.05222749999996</v>
      </c>
      <c r="O7" s="464">
        <v>1390.13678</v>
      </c>
      <c r="P7" s="463">
        <f t="shared" si="3"/>
        <v>347.53419500000001</v>
      </c>
      <c r="Q7" s="465">
        <f t="shared" ref="Q7:Q12" si="6">O7-H7</f>
        <v>990.13678000000004</v>
      </c>
      <c r="R7" s="466" t="s">
        <v>110</v>
      </c>
      <c r="S7" s="408">
        <v>1000</v>
      </c>
      <c r="T7" s="463">
        <f t="shared" si="5"/>
        <v>250</v>
      </c>
    </row>
    <row r="8" spans="1:20" x14ac:dyDescent="0.2">
      <c r="A8" s="458"/>
      <c r="B8" s="459">
        <v>1113</v>
      </c>
      <c r="C8" s="459"/>
      <c r="D8" s="458"/>
      <c r="E8" s="459" t="s">
        <v>107</v>
      </c>
      <c r="F8" s="461">
        <v>2300</v>
      </c>
      <c r="G8" s="462"/>
      <c r="H8" s="345">
        <f t="shared" si="4"/>
        <v>2300</v>
      </c>
      <c r="I8" s="345">
        <v>621.86360999999999</v>
      </c>
      <c r="J8" s="463">
        <f t="shared" si="0"/>
        <v>27.037548260869563</v>
      </c>
      <c r="K8" s="345">
        <v>1284.0226700000001</v>
      </c>
      <c r="L8" s="463">
        <f t="shared" si="1"/>
        <v>55.827072608695659</v>
      </c>
      <c r="M8" s="345">
        <v>2253.7891500000001</v>
      </c>
      <c r="N8" s="463">
        <f t="shared" si="2"/>
        <v>97.990832608695655</v>
      </c>
      <c r="O8" s="464">
        <v>3090.1861099999996</v>
      </c>
      <c r="P8" s="463">
        <f t="shared" si="3"/>
        <v>134.35591782608694</v>
      </c>
      <c r="Q8" s="465">
        <f t="shared" si="6"/>
        <v>790.18610999999964</v>
      </c>
      <c r="R8" s="466" t="s">
        <v>110</v>
      </c>
      <c r="S8" s="408">
        <v>3000</v>
      </c>
      <c r="T8" s="463">
        <f t="shared" si="5"/>
        <v>130.43478260869566</v>
      </c>
    </row>
    <row r="9" spans="1:20" x14ac:dyDescent="0.2">
      <c r="A9" s="458"/>
      <c r="B9" s="459">
        <v>1121</v>
      </c>
      <c r="C9" s="459"/>
      <c r="D9" s="458"/>
      <c r="E9" s="459" t="s">
        <v>108</v>
      </c>
      <c r="F9" s="461">
        <v>18000</v>
      </c>
      <c r="G9" s="462"/>
      <c r="H9" s="345">
        <f t="shared" si="4"/>
        <v>18000</v>
      </c>
      <c r="I9" s="345">
        <v>4029.40841</v>
      </c>
      <c r="J9" s="463">
        <f t="shared" si="0"/>
        <v>22.385602277777778</v>
      </c>
      <c r="K9" s="345">
        <v>9069.0420200000008</v>
      </c>
      <c r="L9" s="463">
        <f t="shared" si="1"/>
        <v>50.38356677777778</v>
      </c>
      <c r="M9" s="345">
        <v>18437.690989999999</v>
      </c>
      <c r="N9" s="463">
        <f t="shared" si="2"/>
        <v>102.43161661111111</v>
      </c>
      <c r="O9" s="464">
        <v>23363.965939999998</v>
      </c>
      <c r="P9" s="463">
        <f t="shared" si="3"/>
        <v>129.79981077777776</v>
      </c>
      <c r="Q9" s="465">
        <f t="shared" si="6"/>
        <v>5363.9659399999982</v>
      </c>
      <c r="R9" s="466" t="s">
        <v>110</v>
      </c>
      <c r="S9" s="408">
        <v>22500</v>
      </c>
      <c r="T9" s="463">
        <f t="shared" si="5"/>
        <v>125</v>
      </c>
    </row>
    <row r="10" spans="1:20" x14ac:dyDescent="0.2">
      <c r="A10" s="458"/>
      <c r="B10" s="459">
        <v>1211</v>
      </c>
      <c r="C10" s="459"/>
      <c r="D10" s="458"/>
      <c r="E10" s="459" t="s">
        <v>106</v>
      </c>
      <c r="F10" s="461">
        <v>45000</v>
      </c>
      <c r="G10" s="462"/>
      <c r="H10" s="345">
        <f t="shared" si="4"/>
        <v>45000</v>
      </c>
      <c r="I10" s="345">
        <v>11627.53903</v>
      </c>
      <c r="J10" s="463">
        <f t="shared" si="0"/>
        <v>25.838975622222222</v>
      </c>
      <c r="K10" s="345">
        <v>24514.644700000001</v>
      </c>
      <c r="L10" s="463">
        <f t="shared" si="1"/>
        <v>54.476988222222225</v>
      </c>
      <c r="M10" s="345">
        <v>38219.634149999998</v>
      </c>
      <c r="N10" s="463">
        <f t="shared" si="2"/>
        <v>84.932520333333329</v>
      </c>
      <c r="O10" s="464">
        <v>53081.7016</v>
      </c>
      <c r="P10" s="463">
        <f t="shared" si="3"/>
        <v>117.95933688888888</v>
      </c>
      <c r="Q10" s="465">
        <f t="shared" si="6"/>
        <v>8081.7016000000003</v>
      </c>
      <c r="R10" s="466" t="s">
        <v>110</v>
      </c>
      <c r="S10" s="408">
        <v>55000</v>
      </c>
      <c r="T10" s="463">
        <f t="shared" si="5"/>
        <v>122.22222222222223</v>
      </c>
    </row>
    <row r="11" spans="1:20" x14ac:dyDescent="0.2">
      <c r="A11" s="458"/>
      <c r="B11" s="459">
        <v>1111</v>
      </c>
      <c r="C11" s="459"/>
      <c r="D11" s="459">
        <v>2</v>
      </c>
      <c r="E11" s="459" t="s">
        <v>117</v>
      </c>
      <c r="F11" s="461">
        <v>1400</v>
      </c>
      <c r="G11" s="462"/>
      <c r="H11" s="345">
        <f t="shared" si="4"/>
        <v>1400</v>
      </c>
      <c r="I11" s="345">
        <v>373.83771000000002</v>
      </c>
      <c r="J11" s="463">
        <f t="shared" si="0"/>
        <v>26.702693571428572</v>
      </c>
      <c r="K11" s="345">
        <v>724.82015999999999</v>
      </c>
      <c r="L11" s="463">
        <f t="shared" si="1"/>
        <v>51.772868571428567</v>
      </c>
      <c r="M11" s="345">
        <v>1139.3018400000001</v>
      </c>
      <c r="N11" s="463">
        <f t="shared" si="2"/>
        <v>81.378702857142855</v>
      </c>
      <c r="O11" s="464">
        <v>1607.3334200000002</v>
      </c>
      <c r="P11" s="463">
        <f t="shared" si="3"/>
        <v>114.80953000000001</v>
      </c>
      <c r="Q11" s="465">
        <f t="shared" si="6"/>
        <v>207.33342000000016</v>
      </c>
      <c r="R11" s="467"/>
      <c r="S11" s="408">
        <v>1500</v>
      </c>
      <c r="T11" s="463">
        <f t="shared" si="5"/>
        <v>107.14285714285714</v>
      </c>
    </row>
    <row r="12" spans="1:20" x14ac:dyDescent="0.2">
      <c r="A12" s="458"/>
      <c r="B12" s="459">
        <v>1122</v>
      </c>
      <c r="C12" s="459"/>
      <c r="D12" s="458"/>
      <c r="E12" s="459" t="s">
        <v>109</v>
      </c>
      <c r="F12" s="461">
        <v>7680</v>
      </c>
      <c r="G12" s="345">
        <v>196</v>
      </c>
      <c r="H12" s="345">
        <f t="shared" si="4"/>
        <v>7876</v>
      </c>
      <c r="I12" s="345">
        <v>7875.88</v>
      </c>
      <c r="J12" s="463">
        <f t="shared" si="0"/>
        <v>99.998476383951242</v>
      </c>
      <c r="K12" s="345">
        <v>7875.88</v>
      </c>
      <c r="L12" s="463">
        <f t="shared" si="1"/>
        <v>99.998476383951242</v>
      </c>
      <c r="M12" s="345">
        <v>7875.88</v>
      </c>
      <c r="N12" s="463">
        <f t="shared" si="2"/>
        <v>99.998476383951242</v>
      </c>
      <c r="O12" s="464">
        <v>7875.88</v>
      </c>
      <c r="P12" s="463">
        <f t="shared" si="3"/>
        <v>99.998476383951242</v>
      </c>
      <c r="Q12" s="465">
        <f t="shared" si="6"/>
        <v>-0.11999999999989086</v>
      </c>
      <c r="R12" s="468" t="s">
        <v>145</v>
      </c>
      <c r="S12" s="408">
        <v>4105</v>
      </c>
      <c r="T12" s="463">
        <f t="shared" si="5"/>
        <v>53.450520833333336</v>
      </c>
    </row>
    <row r="13" spans="1:20" x14ac:dyDescent="0.2">
      <c r="A13" s="448" t="s">
        <v>28</v>
      </c>
      <c r="B13" s="350"/>
      <c r="C13" s="350"/>
      <c r="D13" s="350"/>
      <c r="E13" s="350"/>
      <c r="F13" s="449"/>
      <c r="G13" s="449"/>
      <c r="H13" s="449"/>
      <c r="I13" s="449"/>
      <c r="J13" s="463"/>
      <c r="K13" s="449"/>
      <c r="L13" s="463"/>
      <c r="M13" s="449"/>
      <c r="N13" s="463"/>
      <c r="O13" s="449"/>
      <c r="P13" s="463"/>
      <c r="Q13" s="469"/>
      <c r="R13" s="457"/>
      <c r="S13" s="407"/>
      <c r="T13" s="463"/>
    </row>
    <row r="14" spans="1:20" x14ac:dyDescent="0.2">
      <c r="A14" s="458"/>
      <c r="B14" s="458"/>
      <c r="C14" s="459"/>
      <c r="D14" s="458"/>
      <c r="E14" s="350" t="s">
        <v>139</v>
      </c>
      <c r="F14" s="449">
        <f>SUM(F15:F25)</f>
        <v>4480</v>
      </c>
      <c r="G14" s="449">
        <f>SUM(G15:G25)</f>
        <v>0</v>
      </c>
      <c r="H14" s="449">
        <f>SUM(H15:H25)</f>
        <v>4480</v>
      </c>
      <c r="I14" s="449">
        <f>SUM(I15:I25)</f>
        <v>1186.95</v>
      </c>
      <c r="J14" s="455">
        <f>I14/$H14*100</f>
        <v>26.494419642857142</v>
      </c>
      <c r="K14" s="449">
        <f>SUM(K15:K25)</f>
        <v>2732.3</v>
      </c>
      <c r="L14" s="455">
        <f t="shared" ref="L14:L26" si="7">K14/$H14*100</f>
        <v>60.988839285714292</v>
      </c>
      <c r="M14" s="449">
        <f>SUM(M15:M25)</f>
        <v>3969.57</v>
      </c>
      <c r="N14" s="455">
        <f t="shared" ref="N14:N26" si="8">M14/$H14*100</f>
        <v>88.606473214285714</v>
      </c>
      <c r="O14" s="449">
        <f>SUM(O15:O25)</f>
        <v>4924.7300000000005</v>
      </c>
      <c r="P14" s="455">
        <f t="shared" ref="P14:P23" si="9">O14/$H14*100</f>
        <v>109.92700892857144</v>
      </c>
      <c r="Q14" s="456">
        <f>SUM(Q15:Q25)</f>
        <v>444.72999999999979</v>
      </c>
      <c r="R14" s="457"/>
      <c r="S14" s="407">
        <f>SUM(S15:S25)</f>
        <v>4385</v>
      </c>
      <c r="T14" s="451">
        <f t="shared" si="5"/>
        <v>97.879464285714292</v>
      </c>
    </row>
    <row r="15" spans="1:20" x14ac:dyDescent="0.2">
      <c r="A15" s="458"/>
      <c r="B15" s="459">
        <v>1361</v>
      </c>
      <c r="C15" s="421"/>
      <c r="D15" s="460" t="s">
        <v>451</v>
      </c>
      <c r="E15" s="459" t="s">
        <v>29</v>
      </c>
      <c r="F15" s="461">
        <v>195</v>
      </c>
      <c r="G15" s="345"/>
      <c r="H15" s="345">
        <f t="shared" ref="H15:H25" si="10">SUM(F15:G15)</f>
        <v>195</v>
      </c>
      <c r="I15" s="345">
        <f>1.715+19.43+23</f>
        <v>44.144999999999996</v>
      </c>
      <c r="J15" s="463">
        <f t="shared" ref="J15:J36" si="11">I15/$H15*100</f>
        <v>22.638461538461534</v>
      </c>
      <c r="K15" s="345">
        <f>3.915+42.43+1+47</f>
        <v>94.344999999999999</v>
      </c>
      <c r="L15" s="463">
        <f t="shared" si="7"/>
        <v>48.382051282051279</v>
      </c>
      <c r="M15" s="345">
        <f>6.275+61.04+2+52</f>
        <v>121.315</v>
      </c>
      <c r="N15" s="463">
        <f t="shared" si="8"/>
        <v>62.212820512820514</v>
      </c>
      <c r="O15" s="345">
        <f>7.955+79.27+56+2</f>
        <v>145.22499999999999</v>
      </c>
      <c r="P15" s="463">
        <f t="shared" si="9"/>
        <v>74.474358974358964</v>
      </c>
      <c r="Q15" s="465">
        <f t="shared" ref="Q15:Q25" si="12">O15-H15</f>
        <v>-49.775000000000006</v>
      </c>
      <c r="R15" s="467" t="s">
        <v>298</v>
      </c>
      <c r="S15" s="408">
        <v>195</v>
      </c>
      <c r="T15" s="463">
        <f t="shared" si="5"/>
        <v>100</v>
      </c>
    </row>
    <row r="16" spans="1:20" x14ac:dyDescent="0.2">
      <c r="A16" s="458"/>
      <c r="B16" s="459">
        <v>1361</v>
      </c>
      <c r="C16" s="459"/>
      <c r="D16" s="459">
        <v>7</v>
      </c>
      <c r="E16" s="459" t="s">
        <v>153</v>
      </c>
      <c r="F16" s="461">
        <v>800</v>
      </c>
      <c r="G16" s="345"/>
      <c r="H16" s="345">
        <f t="shared" si="10"/>
        <v>800</v>
      </c>
      <c r="I16" s="345">
        <v>209.33</v>
      </c>
      <c r="J16" s="463">
        <f t="shared" si="11"/>
        <v>26.166250000000002</v>
      </c>
      <c r="K16" s="345">
        <v>533.13</v>
      </c>
      <c r="L16" s="463">
        <f t="shared" si="7"/>
        <v>66.641249999999999</v>
      </c>
      <c r="M16" s="345">
        <v>762.67</v>
      </c>
      <c r="N16" s="463">
        <f t="shared" si="8"/>
        <v>95.333749999999995</v>
      </c>
      <c r="O16" s="345">
        <v>908.30499999999995</v>
      </c>
      <c r="P16" s="463">
        <f t="shared" si="9"/>
        <v>113.53812500000001</v>
      </c>
      <c r="Q16" s="465">
        <f t="shared" si="12"/>
        <v>108.30499999999995</v>
      </c>
      <c r="R16" s="467"/>
      <c r="S16" s="408">
        <v>800</v>
      </c>
      <c r="T16" s="463">
        <f t="shared" si="5"/>
        <v>100</v>
      </c>
    </row>
    <row r="17" spans="1:20" x14ac:dyDescent="0.2">
      <c r="A17" s="458"/>
      <c r="B17" s="459">
        <v>1361</v>
      </c>
      <c r="C17" s="459"/>
      <c r="D17" s="459">
        <v>10.23</v>
      </c>
      <c r="E17" s="470" t="s">
        <v>155</v>
      </c>
      <c r="F17" s="461">
        <f>85+35</f>
        <v>120</v>
      </c>
      <c r="G17" s="345"/>
      <c r="H17" s="345">
        <f t="shared" si="10"/>
        <v>120</v>
      </c>
      <c r="I17" s="345">
        <f>20.725+49.1</f>
        <v>69.825000000000003</v>
      </c>
      <c r="J17" s="463">
        <f t="shared" si="11"/>
        <v>58.1875</v>
      </c>
      <c r="K17" s="345">
        <f>27.55+84.1</f>
        <v>111.64999999999999</v>
      </c>
      <c r="L17" s="463">
        <f t="shared" si="7"/>
        <v>93.041666666666657</v>
      </c>
      <c r="M17" s="345">
        <f>34.75+113.3</f>
        <v>148.05000000000001</v>
      </c>
      <c r="N17" s="463">
        <f t="shared" si="8"/>
        <v>123.37500000000001</v>
      </c>
      <c r="O17" s="345">
        <f>41.15+154.675</f>
        <v>195.82500000000002</v>
      </c>
      <c r="P17" s="463">
        <f t="shared" si="9"/>
        <v>163.18750000000003</v>
      </c>
      <c r="Q17" s="465">
        <f t="shared" si="12"/>
        <v>75.825000000000017</v>
      </c>
      <c r="R17" s="467"/>
      <c r="S17" s="408">
        <v>130</v>
      </c>
      <c r="T17" s="463">
        <f t="shared" si="5"/>
        <v>108.33333333333333</v>
      </c>
    </row>
    <row r="18" spans="1:20" x14ac:dyDescent="0.2">
      <c r="A18" s="458"/>
      <c r="B18" s="459">
        <v>1361</v>
      </c>
      <c r="C18" s="459"/>
      <c r="D18" s="459">
        <v>11</v>
      </c>
      <c r="E18" s="459" t="s">
        <v>30</v>
      </c>
      <c r="F18" s="461">
        <v>150</v>
      </c>
      <c r="G18" s="345"/>
      <c r="H18" s="345">
        <f t="shared" si="10"/>
        <v>150</v>
      </c>
      <c r="I18" s="345">
        <v>40.94</v>
      </c>
      <c r="J18" s="463">
        <f t="shared" si="11"/>
        <v>27.293333333333329</v>
      </c>
      <c r="K18" s="345">
        <v>85.86</v>
      </c>
      <c r="L18" s="463">
        <f t="shared" si="7"/>
        <v>57.24</v>
      </c>
      <c r="M18" s="345">
        <v>130.76</v>
      </c>
      <c r="N18" s="463">
        <f t="shared" si="8"/>
        <v>87.173333333333318</v>
      </c>
      <c r="O18" s="345">
        <v>162.41999999999999</v>
      </c>
      <c r="P18" s="463">
        <f t="shared" si="9"/>
        <v>108.28</v>
      </c>
      <c r="Q18" s="465">
        <f t="shared" si="12"/>
        <v>12.419999999999987</v>
      </c>
      <c r="R18" s="467"/>
      <c r="S18" s="408">
        <v>150</v>
      </c>
      <c r="T18" s="463">
        <f t="shared" si="5"/>
        <v>100</v>
      </c>
    </row>
    <row r="19" spans="1:20" x14ac:dyDescent="0.2">
      <c r="A19" s="458"/>
      <c r="B19" s="459">
        <v>1361</v>
      </c>
      <c r="C19" s="459"/>
      <c r="D19" s="459">
        <v>24</v>
      </c>
      <c r="E19" s="459" t="s">
        <v>156</v>
      </c>
      <c r="F19" s="461">
        <v>30</v>
      </c>
      <c r="G19" s="345"/>
      <c r="H19" s="345">
        <f t="shared" si="10"/>
        <v>30</v>
      </c>
      <c r="I19" s="345">
        <v>7.8</v>
      </c>
      <c r="J19" s="463">
        <f t="shared" si="11"/>
        <v>26</v>
      </c>
      <c r="K19" s="345">
        <v>21.3</v>
      </c>
      <c r="L19" s="463">
        <f t="shared" si="7"/>
        <v>71.000000000000014</v>
      </c>
      <c r="M19" s="345">
        <v>28.6</v>
      </c>
      <c r="N19" s="463">
        <f t="shared" si="8"/>
        <v>95.333333333333343</v>
      </c>
      <c r="O19" s="345">
        <v>31.2</v>
      </c>
      <c r="P19" s="463">
        <f t="shared" si="9"/>
        <v>104</v>
      </c>
      <c r="Q19" s="465">
        <f t="shared" si="12"/>
        <v>1.1999999999999993</v>
      </c>
      <c r="R19" s="467"/>
      <c r="S19" s="408">
        <v>30</v>
      </c>
      <c r="T19" s="463">
        <f t="shared" si="5"/>
        <v>100</v>
      </c>
    </row>
    <row r="20" spans="1:20" x14ac:dyDescent="0.2">
      <c r="A20" s="458"/>
      <c r="B20" s="459">
        <v>1361</v>
      </c>
      <c r="C20" s="459"/>
      <c r="D20" s="459" t="s">
        <v>337</v>
      </c>
      <c r="E20" s="459" t="s">
        <v>157</v>
      </c>
      <c r="F20" s="461">
        <f>90+210+2200</f>
        <v>2500</v>
      </c>
      <c r="G20" s="462"/>
      <c r="H20" s="345">
        <f t="shared" si="10"/>
        <v>2500</v>
      </c>
      <c r="I20" s="345">
        <f>8.2+432.2+58.85</f>
        <v>499.25</v>
      </c>
      <c r="J20" s="463">
        <f t="shared" si="11"/>
        <v>19.97</v>
      </c>
      <c r="K20" s="345">
        <f>29.4+1003.45+108.605</f>
        <v>1141.4550000000002</v>
      </c>
      <c r="L20" s="463">
        <f t="shared" si="7"/>
        <v>45.658200000000008</v>
      </c>
      <c r="M20" s="345">
        <f>34+1541.2+171.065</f>
        <v>1746.2650000000001</v>
      </c>
      <c r="N20" s="463">
        <f t="shared" si="8"/>
        <v>69.850600000000014</v>
      </c>
      <c r="O20" s="345">
        <f>43.2+2014.45+223.885</f>
        <v>2281.5349999999999</v>
      </c>
      <c r="P20" s="463">
        <f t="shared" si="9"/>
        <v>91.261399999999995</v>
      </c>
      <c r="Q20" s="465">
        <f t="shared" si="12"/>
        <v>-218.46500000000015</v>
      </c>
      <c r="R20" s="467"/>
      <c r="S20" s="408">
        <f>2000+200+90</f>
        <v>2290</v>
      </c>
      <c r="T20" s="463">
        <f t="shared" si="5"/>
        <v>91.600000000000009</v>
      </c>
    </row>
    <row r="21" spans="1:20" x14ac:dyDescent="0.2">
      <c r="A21" s="458"/>
      <c r="B21" s="459">
        <v>1353</v>
      </c>
      <c r="C21" s="459"/>
      <c r="D21" s="459">
        <v>26</v>
      </c>
      <c r="E21" s="459" t="s">
        <v>179</v>
      </c>
      <c r="F21" s="461">
        <v>250</v>
      </c>
      <c r="G21" s="462"/>
      <c r="H21" s="345">
        <f t="shared" si="10"/>
        <v>250</v>
      </c>
      <c r="I21" s="345">
        <v>22.1</v>
      </c>
      <c r="J21" s="463">
        <f t="shared" si="11"/>
        <v>8.84</v>
      </c>
      <c r="K21" s="345">
        <v>73.400000000000006</v>
      </c>
      <c r="L21" s="463">
        <f t="shared" si="7"/>
        <v>29.360000000000003</v>
      </c>
      <c r="M21" s="345">
        <v>120.8</v>
      </c>
      <c r="N21" s="463">
        <f t="shared" si="8"/>
        <v>48.319999999999993</v>
      </c>
      <c r="O21" s="345">
        <v>156.6</v>
      </c>
      <c r="P21" s="463">
        <f t="shared" si="9"/>
        <v>62.639999999999993</v>
      </c>
      <c r="Q21" s="465">
        <f t="shared" si="12"/>
        <v>-93.4</v>
      </c>
      <c r="R21" s="467"/>
      <c r="S21" s="408">
        <v>160</v>
      </c>
      <c r="T21" s="463">
        <f t="shared" si="5"/>
        <v>64</v>
      </c>
    </row>
    <row r="22" spans="1:20" x14ac:dyDescent="0.2">
      <c r="A22" s="458"/>
      <c r="B22" s="459">
        <v>1361</v>
      </c>
      <c r="C22" s="459"/>
      <c r="D22" s="459">
        <v>32.33</v>
      </c>
      <c r="E22" s="459" t="s">
        <v>128</v>
      </c>
      <c r="F22" s="461">
        <v>400</v>
      </c>
      <c r="G22" s="462"/>
      <c r="H22" s="345">
        <f t="shared" si="10"/>
        <v>400</v>
      </c>
      <c r="I22" s="345">
        <f>249.1+32.5</f>
        <v>281.60000000000002</v>
      </c>
      <c r="J22" s="463">
        <f t="shared" si="11"/>
        <v>70.400000000000006</v>
      </c>
      <c r="K22" s="345">
        <f>564.3+87.9</f>
        <v>652.19999999999993</v>
      </c>
      <c r="L22" s="463">
        <f t="shared" si="7"/>
        <v>163.04999999999998</v>
      </c>
      <c r="M22" s="345">
        <f>734+153</f>
        <v>887</v>
      </c>
      <c r="N22" s="463">
        <f t="shared" si="8"/>
        <v>221.74999999999997</v>
      </c>
      <c r="O22" s="345">
        <f>828.1+182.9</f>
        <v>1011</v>
      </c>
      <c r="P22" s="463">
        <f t="shared" si="9"/>
        <v>252.75</v>
      </c>
      <c r="Q22" s="465">
        <f t="shared" si="12"/>
        <v>611</v>
      </c>
      <c r="R22" s="471"/>
      <c r="S22" s="408">
        <v>600</v>
      </c>
      <c r="T22" s="463">
        <f t="shared" si="5"/>
        <v>150</v>
      </c>
    </row>
    <row r="23" spans="1:20" x14ac:dyDescent="0.2">
      <c r="A23" s="458"/>
      <c r="B23" s="459">
        <v>1361</v>
      </c>
      <c r="C23" s="459"/>
      <c r="D23" s="459">
        <v>35</v>
      </c>
      <c r="E23" s="459" t="s">
        <v>203</v>
      </c>
      <c r="F23" s="461">
        <v>35</v>
      </c>
      <c r="G23" s="345"/>
      <c r="H23" s="345">
        <f t="shared" si="10"/>
        <v>35</v>
      </c>
      <c r="I23" s="345">
        <v>8.26</v>
      </c>
      <c r="J23" s="463">
        <f t="shared" si="11"/>
        <v>23.599999999999998</v>
      </c>
      <c r="K23" s="345">
        <v>11.96</v>
      </c>
      <c r="L23" s="463">
        <f t="shared" si="7"/>
        <v>34.171428571428578</v>
      </c>
      <c r="M23" s="345">
        <v>16.71</v>
      </c>
      <c r="N23" s="463">
        <f t="shared" si="8"/>
        <v>47.742857142857147</v>
      </c>
      <c r="O23" s="345">
        <v>24.82</v>
      </c>
      <c r="P23" s="463">
        <f t="shared" si="9"/>
        <v>70.914285714285725</v>
      </c>
      <c r="Q23" s="465">
        <f t="shared" si="12"/>
        <v>-10.18</v>
      </c>
      <c r="R23" s="467"/>
      <c r="S23" s="408">
        <v>30</v>
      </c>
      <c r="T23" s="463">
        <f t="shared" si="5"/>
        <v>85.714285714285708</v>
      </c>
    </row>
    <row r="24" spans="1:20" x14ac:dyDescent="0.2">
      <c r="A24" s="458"/>
      <c r="B24" s="459">
        <v>1361</v>
      </c>
      <c r="C24" s="459"/>
      <c r="D24" s="459">
        <v>40</v>
      </c>
      <c r="E24" s="459" t="s">
        <v>31</v>
      </c>
      <c r="F24" s="461">
        <v>0</v>
      </c>
      <c r="G24" s="345"/>
      <c r="H24" s="345">
        <f t="shared" si="10"/>
        <v>0</v>
      </c>
      <c r="I24" s="345">
        <v>2.5</v>
      </c>
      <c r="J24" s="463"/>
      <c r="K24" s="345">
        <v>5</v>
      </c>
      <c r="L24" s="463"/>
      <c r="M24" s="345">
        <v>5</v>
      </c>
      <c r="N24" s="463"/>
      <c r="O24" s="345">
        <v>5</v>
      </c>
      <c r="P24" s="463"/>
      <c r="Q24" s="465">
        <f t="shared" si="12"/>
        <v>5</v>
      </c>
      <c r="R24" s="472"/>
      <c r="S24" s="408"/>
      <c r="T24" s="463"/>
    </row>
    <row r="25" spans="1:20" x14ac:dyDescent="0.2">
      <c r="A25" s="458"/>
      <c r="B25" s="459">
        <v>1361</v>
      </c>
      <c r="C25" s="459"/>
      <c r="D25" s="460" t="s">
        <v>402</v>
      </c>
      <c r="E25" s="459" t="s">
        <v>98</v>
      </c>
      <c r="F25" s="345"/>
      <c r="G25" s="345"/>
      <c r="H25" s="345">
        <f t="shared" si="10"/>
        <v>0</v>
      </c>
      <c r="I25" s="345">
        <v>1.2</v>
      </c>
      <c r="J25" s="463"/>
      <c r="K25" s="345">
        <v>2</v>
      </c>
      <c r="L25" s="463"/>
      <c r="M25" s="345">
        <v>2.4</v>
      </c>
      <c r="N25" s="463"/>
      <c r="O25" s="345">
        <v>2.8</v>
      </c>
      <c r="P25" s="463"/>
      <c r="Q25" s="465">
        <f t="shared" si="12"/>
        <v>2.8</v>
      </c>
      <c r="R25" s="467"/>
      <c r="S25" s="408"/>
      <c r="T25" s="463"/>
    </row>
    <row r="26" spans="1:20" x14ac:dyDescent="0.2">
      <c r="A26" s="458"/>
      <c r="B26" s="458"/>
      <c r="C26" s="459"/>
      <c r="D26" s="458"/>
      <c r="E26" s="350" t="s">
        <v>226</v>
      </c>
      <c r="F26" s="449">
        <f>SUM(F27:F28)</f>
        <v>3500</v>
      </c>
      <c r="G26" s="449">
        <f>SUM(G27:G28)</f>
        <v>0</v>
      </c>
      <c r="H26" s="449">
        <f>SUM(H27:H28)</f>
        <v>3500</v>
      </c>
      <c r="I26" s="449">
        <f>SUM(I27:I28)</f>
        <v>1781.3055499999998</v>
      </c>
      <c r="J26" s="455">
        <f>I26/$H26*100</f>
        <v>50.894444285714279</v>
      </c>
      <c r="K26" s="449">
        <f>SUM(K27:K28)</f>
        <v>3748.03226</v>
      </c>
      <c r="L26" s="455">
        <f t="shared" si="7"/>
        <v>107.08663599999998</v>
      </c>
      <c r="M26" s="449">
        <f>SUM(M27:M28)</f>
        <v>5828.4624000000003</v>
      </c>
      <c r="N26" s="455">
        <f t="shared" si="8"/>
        <v>166.52749714285716</v>
      </c>
      <c r="O26" s="449">
        <f>SUM(O27:O28)</f>
        <v>7976.2034599999997</v>
      </c>
      <c r="P26" s="455">
        <f>O26/$H26*100</f>
        <v>227.89152742857141</v>
      </c>
      <c r="Q26" s="456">
        <f>SUM(Q27:Q28)</f>
        <v>4476.2034599999997</v>
      </c>
      <c r="R26" s="468"/>
      <c r="S26" s="407">
        <f>SUM(S27:S28)</f>
        <v>3400</v>
      </c>
      <c r="T26" s="451">
        <f t="shared" si="5"/>
        <v>97.142857142857139</v>
      </c>
    </row>
    <row r="27" spans="1:20" x14ac:dyDescent="0.2">
      <c r="A27" s="458"/>
      <c r="B27" s="459">
        <v>1332.1333999999999</v>
      </c>
      <c r="C27" s="459"/>
      <c r="D27" s="459">
        <v>23.12</v>
      </c>
      <c r="E27" s="459" t="s">
        <v>303</v>
      </c>
      <c r="F27" s="345">
        <v>0</v>
      </c>
      <c r="G27" s="345"/>
      <c r="H27" s="345">
        <f>SUM(F27:G27)</f>
        <v>0</v>
      </c>
      <c r="I27" s="345"/>
      <c r="J27" s="463"/>
      <c r="K27" s="345"/>
      <c r="L27" s="463"/>
      <c r="M27" s="345"/>
      <c r="N27" s="463"/>
      <c r="O27" s="345">
        <f>0.0328</f>
        <v>3.2800000000000003E-2</v>
      </c>
      <c r="P27" s="463"/>
      <c r="Q27" s="465">
        <f>O27-H27</f>
        <v>3.2800000000000003E-2</v>
      </c>
      <c r="R27" s="467"/>
      <c r="S27" s="408"/>
      <c r="T27" s="463"/>
    </row>
    <row r="28" spans="1:20" x14ac:dyDescent="0.2">
      <c r="A28" s="458"/>
      <c r="B28" s="459">
        <v>1381.1385</v>
      </c>
      <c r="C28" s="459"/>
      <c r="D28" s="459">
        <v>401</v>
      </c>
      <c r="E28" s="459" t="s">
        <v>276</v>
      </c>
      <c r="F28" s="345">
        <v>3500</v>
      </c>
      <c r="G28" s="462"/>
      <c r="H28" s="345">
        <f>SUM(F28:G28)</f>
        <v>3500</v>
      </c>
      <c r="I28" s="345">
        <f>203.67925+1577.6263</f>
        <v>1781.3055499999998</v>
      </c>
      <c r="J28" s="463">
        <f>I28/$H28*100</f>
        <v>50.894444285714279</v>
      </c>
      <c r="K28" s="345">
        <f>390.25379+3357.77847</f>
        <v>3748.03226</v>
      </c>
      <c r="L28" s="463">
        <f t="shared" ref="L28:L36" si="13">K28/$H28*100</f>
        <v>107.08663599999998</v>
      </c>
      <c r="M28" s="345">
        <f>571.39721+5257.06519</f>
        <v>5828.4624000000003</v>
      </c>
      <c r="N28" s="463">
        <f t="shared" ref="N28:N37" si="14">M28/$H28*100</f>
        <v>166.52749714285716</v>
      </c>
      <c r="O28" s="345">
        <f>750.76926+6.31306+7219.08834</f>
        <v>7976.1706599999998</v>
      </c>
      <c r="P28" s="463">
        <f t="shared" ref="P28:P33" si="15">O28/$H28*100</f>
        <v>227.89059028571427</v>
      </c>
      <c r="Q28" s="465">
        <f>O28-H28</f>
        <v>4476.1706599999998</v>
      </c>
      <c r="R28" s="467" t="s">
        <v>422</v>
      </c>
      <c r="S28" s="408">
        <f>2900+500</f>
        <v>3400</v>
      </c>
      <c r="T28" s="463">
        <f t="shared" si="5"/>
        <v>97.142857142857139</v>
      </c>
    </row>
    <row r="29" spans="1:20" x14ac:dyDescent="0.2">
      <c r="A29" s="458"/>
      <c r="B29" s="458"/>
      <c r="C29" s="459"/>
      <c r="D29" s="458"/>
      <c r="E29" s="350" t="s">
        <v>140</v>
      </c>
      <c r="F29" s="449">
        <f>SUM(F30:F34)</f>
        <v>3485</v>
      </c>
      <c r="G29" s="449">
        <f>SUM(G30:G34)</f>
        <v>0</v>
      </c>
      <c r="H29" s="449">
        <f>SUM(H30:H34)</f>
        <v>3485</v>
      </c>
      <c r="I29" s="449">
        <f>SUM(I30:I34)</f>
        <v>1555.9430900000002</v>
      </c>
      <c r="J29" s="455">
        <f t="shared" si="11"/>
        <v>44.646860545193697</v>
      </c>
      <c r="K29" s="449">
        <f>SUM(K30:K34)</f>
        <v>2767.4180899999997</v>
      </c>
      <c r="L29" s="455">
        <f t="shared" si="13"/>
        <v>79.409414347202286</v>
      </c>
      <c r="M29" s="449">
        <f>SUM(M30:M34)</f>
        <v>2953.4729899999998</v>
      </c>
      <c r="N29" s="455">
        <f t="shared" si="14"/>
        <v>84.748148923959818</v>
      </c>
      <c r="O29" s="449">
        <f>SUM(O30:O34)</f>
        <v>3336.3742100000004</v>
      </c>
      <c r="P29" s="455">
        <f t="shared" si="15"/>
        <v>95.73527144906744</v>
      </c>
      <c r="Q29" s="456">
        <f>SUM(Q30:Q34)</f>
        <v>-148.62578999999977</v>
      </c>
      <c r="R29" s="457"/>
      <c r="S29" s="407">
        <f>SUM(S30:S34)</f>
        <v>3315</v>
      </c>
      <c r="T29" s="451">
        <f t="shared" si="5"/>
        <v>95.121951219512198</v>
      </c>
    </row>
    <row r="30" spans="1:20" x14ac:dyDescent="0.2">
      <c r="A30" s="458"/>
      <c r="B30" s="459">
        <v>1345</v>
      </c>
      <c r="C30" s="459"/>
      <c r="D30" s="459">
        <v>240</v>
      </c>
      <c r="E30" s="459" t="s">
        <v>100</v>
      </c>
      <c r="F30" s="461">
        <v>3200</v>
      </c>
      <c r="G30" s="345"/>
      <c r="H30" s="345">
        <f>SUM(F30:G30)</f>
        <v>3200</v>
      </c>
      <c r="I30" s="345">
        <v>1465.38077</v>
      </c>
      <c r="J30" s="463">
        <f>I30/$H30*100</f>
        <v>45.7931490625</v>
      </c>
      <c r="K30" s="345">
        <v>2606.73747</v>
      </c>
      <c r="L30" s="463">
        <f t="shared" si="13"/>
        <v>81.460545937500001</v>
      </c>
      <c r="M30" s="345">
        <v>2769.66968</v>
      </c>
      <c r="N30" s="463">
        <f t="shared" si="14"/>
        <v>86.552177499999999</v>
      </c>
      <c r="O30" s="345">
        <f>3086.24749</f>
        <v>3086.2474900000002</v>
      </c>
      <c r="P30" s="463">
        <f t="shared" si="15"/>
        <v>96.445234062500006</v>
      </c>
      <c r="Q30" s="465">
        <f t="shared" ref="Q30:Q34" si="16">O30-H30</f>
        <v>-113.7525099999998</v>
      </c>
      <c r="R30" s="468" t="s">
        <v>232</v>
      </c>
      <c r="S30" s="408">
        <v>3100</v>
      </c>
      <c r="T30" s="463">
        <f t="shared" si="5"/>
        <v>96.875</v>
      </c>
    </row>
    <row r="31" spans="1:20" x14ac:dyDescent="0.2">
      <c r="A31" s="458"/>
      <c r="B31" s="459">
        <v>1341</v>
      </c>
      <c r="C31" s="459"/>
      <c r="D31" s="459">
        <v>5</v>
      </c>
      <c r="E31" s="459" t="s">
        <v>103</v>
      </c>
      <c r="F31" s="461">
        <v>105</v>
      </c>
      <c r="G31" s="345"/>
      <c r="H31" s="345">
        <f>SUM(F31:G31)</f>
        <v>105</v>
      </c>
      <c r="I31" s="345">
        <v>69.308679999999995</v>
      </c>
      <c r="J31" s="463">
        <f>I31/$H31*100</f>
        <v>66.008266666666657</v>
      </c>
      <c r="K31" s="345">
        <v>93.258340000000004</v>
      </c>
      <c r="L31" s="463">
        <f t="shared" si="13"/>
        <v>88.817466666666661</v>
      </c>
      <c r="M31" s="345">
        <v>101.91099</v>
      </c>
      <c r="N31" s="463">
        <f t="shared" si="14"/>
        <v>97.05808571428571</v>
      </c>
      <c r="O31" s="345">
        <v>112.35464</v>
      </c>
      <c r="P31" s="463">
        <f t="shared" si="15"/>
        <v>107.00441904761905</v>
      </c>
      <c r="Q31" s="465">
        <f t="shared" si="16"/>
        <v>7.3546400000000034</v>
      </c>
      <c r="R31" s="468"/>
      <c r="S31" s="408">
        <v>105</v>
      </c>
      <c r="T31" s="463">
        <f t="shared" si="5"/>
        <v>100</v>
      </c>
    </row>
    <row r="32" spans="1:20" x14ac:dyDescent="0.2">
      <c r="A32" s="458"/>
      <c r="B32" s="459">
        <v>1342</v>
      </c>
      <c r="C32" s="459"/>
      <c r="D32" s="459">
        <v>9</v>
      </c>
      <c r="E32" s="459" t="s">
        <v>296</v>
      </c>
      <c r="F32" s="461">
        <v>90</v>
      </c>
      <c r="G32" s="345"/>
      <c r="H32" s="345">
        <f>SUM(F32:G32)</f>
        <v>90</v>
      </c>
      <c r="I32" s="345"/>
      <c r="J32" s="463"/>
      <c r="K32" s="345">
        <v>11.79</v>
      </c>
      <c r="L32" s="463">
        <f>K32/$H32*100</f>
        <v>13.099999999999998</v>
      </c>
      <c r="M32" s="345">
        <v>11.79</v>
      </c>
      <c r="N32" s="463">
        <f t="shared" si="14"/>
        <v>13.099999999999998</v>
      </c>
      <c r="O32" s="345">
        <v>38.384999999999998</v>
      </c>
      <c r="P32" s="463">
        <f t="shared" si="15"/>
        <v>42.65</v>
      </c>
      <c r="Q32" s="465">
        <f t="shared" si="16"/>
        <v>-51.615000000000002</v>
      </c>
      <c r="R32" s="468"/>
      <c r="S32" s="408">
        <v>40</v>
      </c>
      <c r="T32" s="463">
        <f t="shared" si="5"/>
        <v>44.444444444444443</v>
      </c>
    </row>
    <row r="33" spans="1:20" x14ac:dyDescent="0.2">
      <c r="A33" s="458"/>
      <c r="B33" s="459">
        <v>1343</v>
      </c>
      <c r="C33" s="459"/>
      <c r="D33" s="459">
        <v>30</v>
      </c>
      <c r="E33" s="459" t="s">
        <v>104</v>
      </c>
      <c r="F33" s="461">
        <v>90</v>
      </c>
      <c r="G33" s="345"/>
      <c r="H33" s="345">
        <f>SUM(F33:G33)</f>
        <v>90</v>
      </c>
      <c r="I33" s="345">
        <v>10.55364</v>
      </c>
      <c r="J33" s="463">
        <f>I33/$H33*100</f>
        <v>11.726266666666668</v>
      </c>
      <c r="K33" s="345">
        <v>35.932279999999999</v>
      </c>
      <c r="L33" s="463">
        <f>K33/$H33*100</f>
        <v>39.924755555555549</v>
      </c>
      <c r="M33" s="345">
        <v>41.402320000000003</v>
      </c>
      <c r="N33" s="463">
        <f>M33/$H33*100</f>
        <v>46.00257777777778</v>
      </c>
      <c r="O33" s="345">
        <v>61.687080000000002</v>
      </c>
      <c r="P33" s="463">
        <f t="shared" si="15"/>
        <v>68.541200000000003</v>
      </c>
      <c r="Q33" s="465">
        <f t="shared" si="16"/>
        <v>-28.312919999999998</v>
      </c>
      <c r="R33" s="468" t="s">
        <v>339</v>
      </c>
      <c r="S33" s="408">
        <v>70</v>
      </c>
      <c r="T33" s="463">
        <f t="shared" si="5"/>
        <v>77.777777777777786</v>
      </c>
    </row>
    <row r="34" spans="1:20" x14ac:dyDescent="0.2">
      <c r="A34" s="458"/>
      <c r="B34" s="459">
        <v>1349</v>
      </c>
      <c r="C34" s="459"/>
      <c r="D34" s="459">
        <v>31</v>
      </c>
      <c r="E34" s="459" t="s">
        <v>360</v>
      </c>
      <c r="F34" s="345">
        <v>0</v>
      </c>
      <c r="G34" s="345"/>
      <c r="H34" s="345">
        <f>SUM(F34:G34)</f>
        <v>0</v>
      </c>
      <c r="I34" s="345">
        <f>1.7+9</f>
        <v>10.7</v>
      </c>
      <c r="J34" s="463"/>
      <c r="K34" s="345">
        <f>1.7+18</f>
        <v>19.7</v>
      </c>
      <c r="L34" s="463"/>
      <c r="M34" s="345">
        <f>1.7+27</f>
        <v>28.7</v>
      </c>
      <c r="N34" s="463"/>
      <c r="O34" s="345">
        <f>1.7+36</f>
        <v>37.700000000000003</v>
      </c>
      <c r="P34" s="463"/>
      <c r="Q34" s="465">
        <f t="shared" si="16"/>
        <v>37.700000000000003</v>
      </c>
      <c r="R34" s="468"/>
      <c r="S34" s="408"/>
      <c r="T34" s="463"/>
    </row>
    <row r="35" spans="1:20" x14ac:dyDescent="0.2">
      <c r="A35" s="448" t="s">
        <v>32</v>
      </c>
      <c r="B35" s="350"/>
      <c r="C35" s="350"/>
      <c r="D35" s="350"/>
      <c r="E35" s="350"/>
      <c r="F35" s="449">
        <f>SUM(F36)</f>
        <v>4200</v>
      </c>
      <c r="G35" s="449">
        <f>SUM(G36)</f>
        <v>0</v>
      </c>
      <c r="H35" s="449">
        <f>SUM(H36:H36)</f>
        <v>4200</v>
      </c>
      <c r="I35" s="449">
        <f>SUM(I36)</f>
        <v>106.58457</v>
      </c>
      <c r="J35" s="455">
        <f t="shared" si="11"/>
        <v>2.537727857142857</v>
      </c>
      <c r="K35" s="449">
        <f>SUM(K36)</f>
        <v>2810.3253599999998</v>
      </c>
      <c r="L35" s="455">
        <f t="shared" si="13"/>
        <v>66.91250857142856</v>
      </c>
      <c r="M35" s="449">
        <f>SUM(M36)</f>
        <v>2981.9082199999998</v>
      </c>
      <c r="N35" s="455">
        <f t="shared" si="14"/>
        <v>70.997814761904749</v>
      </c>
      <c r="O35" s="449">
        <f>SUM(O36)</f>
        <v>4332.5181199999997</v>
      </c>
      <c r="P35" s="455">
        <f>O35/$H35*100</f>
        <v>103.15519333333332</v>
      </c>
      <c r="Q35" s="456">
        <f>SUM(Q36:Q36)</f>
        <v>132.51811999999973</v>
      </c>
      <c r="R35" s="453"/>
      <c r="S35" s="407">
        <f>SUM(S36)</f>
        <v>4100</v>
      </c>
      <c r="T35" s="451">
        <f t="shared" si="5"/>
        <v>97.61904761904762</v>
      </c>
    </row>
    <row r="36" spans="1:20" ht="13.5" thickBot="1" x14ac:dyDescent="0.25">
      <c r="A36" s="458"/>
      <c r="B36" s="459">
        <v>1511</v>
      </c>
      <c r="C36" s="459" t="s">
        <v>33</v>
      </c>
      <c r="D36" s="458"/>
      <c r="E36" s="459" t="s">
        <v>161</v>
      </c>
      <c r="F36" s="345">
        <v>4200</v>
      </c>
      <c r="G36" s="345"/>
      <c r="H36" s="345">
        <f>SUM(F36:G36)</f>
        <v>4200</v>
      </c>
      <c r="I36" s="345">
        <v>106.58457</v>
      </c>
      <c r="J36" s="463">
        <f t="shared" si="11"/>
        <v>2.537727857142857</v>
      </c>
      <c r="K36" s="345">
        <v>2810.3253599999998</v>
      </c>
      <c r="L36" s="463">
        <f t="shared" si="13"/>
        <v>66.91250857142856</v>
      </c>
      <c r="M36" s="345">
        <v>2981.9082199999998</v>
      </c>
      <c r="N36" s="463">
        <f t="shared" si="14"/>
        <v>70.997814761904749</v>
      </c>
      <c r="O36" s="345">
        <v>4332.5181199999997</v>
      </c>
      <c r="P36" s="463">
        <f>O36/$H36*100</f>
        <v>103.15519333333332</v>
      </c>
      <c r="Q36" s="465">
        <f>O36-H36</f>
        <v>132.51811999999973</v>
      </c>
      <c r="R36" s="468"/>
      <c r="S36" s="408">
        <v>4100</v>
      </c>
      <c r="T36" s="463">
        <f t="shared" si="5"/>
        <v>97.61904761904762</v>
      </c>
    </row>
    <row r="37" spans="1:20" ht="18" customHeight="1" thickBot="1" x14ac:dyDescent="0.3">
      <c r="A37" s="473" t="s">
        <v>34</v>
      </c>
      <c r="B37" s="474"/>
      <c r="C37" s="474"/>
      <c r="D37" s="474"/>
      <c r="E37" s="473"/>
      <c r="F37" s="475">
        <f>SUM(F5+F14+F26+F29+F35)</f>
        <v>103445</v>
      </c>
      <c r="G37" s="475">
        <f>SUM(G5+G14+G26+G29+G35)</f>
        <v>196</v>
      </c>
      <c r="H37" s="475">
        <f>SUM(H5+H14+H26+H29+H35)</f>
        <v>103641</v>
      </c>
      <c r="I37" s="475">
        <f>SUM(I5+I14+I26+I29+I35)</f>
        <v>32785.465900000003</v>
      </c>
      <c r="J37" s="476">
        <f>I37/$H37*100</f>
        <v>31.63368348433535</v>
      </c>
      <c r="K37" s="475">
        <f>SUM(K5+K14+K26+K29+K35)</f>
        <v>62314.661700000004</v>
      </c>
      <c r="L37" s="476">
        <f>K37/$H37*100</f>
        <v>60.125492517440016</v>
      </c>
      <c r="M37" s="475">
        <f>SUM(M5+M14+M26+M29+M35)</f>
        <v>95159.963150000011</v>
      </c>
      <c r="N37" s="476">
        <f t="shared" si="14"/>
        <v>91.816909475979585</v>
      </c>
      <c r="O37" s="475">
        <f>SUM(O5+O14+O26+O29+O35)</f>
        <v>125889.95433999998</v>
      </c>
      <c r="P37" s="475">
        <f>SUM(P5+P14+P26+P29+P35)</f>
        <v>656.42361484100763</v>
      </c>
      <c r="Q37" s="477">
        <f>SUM(Q5+Q14+Q26+Q29+Q35)</f>
        <v>22248.95434</v>
      </c>
      <c r="R37" s="478"/>
      <c r="S37" s="409">
        <f>SUM(S5+S14+S26+S29+S35)</f>
        <v>117305</v>
      </c>
      <c r="T37" s="366">
        <f>S37/$F37</f>
        <v>1.1339842428343565</v>
      </c>
    </row>
    <row r="38" spans="1:20" x14ac:dyDescent="0.2">
      <c r="A38" s="448"/>
      <c r="B38" s="350"/>
      <c r="C38" s="350"/>
      <c r="D38" s="350"/>
      <c r="E38" s="448" t="s">
        <v>35</v>
      </c>
      <c r="F38" s="449"/>
      <c r="G38" s="449"/>
      <c r="H38" s="449"/>
      <c r="I38" s="449"/>
      <c r="J38" s="463"/>
      <c r="K38" s="449"/>
      <c r="L38" s="463"/>
      <c r="M38" s="449"/>
      <c r="N38" s="463"/>
      <c r="O38" s="449"/>
      <c r="P38" s="463"/>
      <c r="Q38" s="469"/>
      <c r="R38" s="453"/>
      <c r="S38" s="407"/>
      <c r="T38" s="463"/>
    </row>
    <row r="39" spans="1:20" x14ac:dyDescent="0.2">
      <c r="A39" s="448" t="s">
        <v>36</v>
      </c>
      <c r="B39" s="350"/>
      <c r="C39" s="350"/>
      <c r="D39" s="350"/>
      <c r="E39" s="350"/>
      <c r="F39" s="449"/>
      <c r="G39" s="449"/>
      <c r="H39" s="449"/>
      <c r="I39" s="449"/>
      <c r="J39" s="463"/>
      <c r="K39" s="449"/>
      <c r="L39" s="463"/>
      <c r="M39" s="449"/>
      <c r="N39" s="463"/>
      <c r="O39" s="449"/>
      <c r="P39" s="463"/>
      <c r="Q39" s="469"/>
      <c r="R39" s="453"/>
      <c r="S39" s="407"/>
      <c r="T39" s="463"/>
    </row>
    <row r="40" spans="1:20" x14ac:dyDescent="0.2">
      <c r="A40" s="458"/>
      <c r="B40" s="350"/>
      <c r="C40" s="459"/>
      <c r="D40" s="350"/>
      <c r="E40" s="350" t="s">
        <v>138</v>
      </c>
      <c r="F40" s="449">
        <f>SUM(F41:F60)</f>
        <v>12224</v>
      </c>
      <c r="G40" s="449">
        <f>SUM(G41:G60)</f>
        <v>1030</v>
      </c>
      <c r="H40" s="449">
        <f>SUM(H41:H60)</f>
        <v>13254</v>
      </c>
      <c r="I40" s="449">
        <f>SUM(I41:I60)</f>
        <v>3611.4389799999994</v>
      </c>
      <c r="J40" s="455">
        <f t="shared" ref="J40:J74" si="17">I40/$H40*100</f>
        <v>27.247917458880334</v>
      </c>
      <c r="K40" s="449">
        <f>SUM(K41:K60)</f>
        <v>6258.3562699999993</v>
      </c>
      <c r="L40" s="455">
        <f t="shared" ref="L40:L59" si="18">K40/$H40*100</f>
        <v>47.218622830843515</v>
      </c>
      <c r="M40" s="449">
        <f>SUM(M41:M60)</f>
        <v>13827.109080000002</v>
      </c>
      <c r="N40" s="455">
        <f t="shared" ref="N40:N59" si="19">M40/$H40*100</f>
        <v>104.32404617473972</v>
      </c>
      <c r="O40" s="449">
        <f>SUM(O41:O60)</f>
        <v>17628.229159999999</v>
      </c>
      <c r="P40" s="455">
        <f t="shared" ref="P40:P72" si="20">O40/$H40*100</f>
        <v>133.00308706805492</v>
      </c>
      <c r="Q40" s="456">
        <f>SUM(Q41:Q60)</f>
        <v>4374.229159999999</v>
      </c>
      <c r="R40" s="468"/>
      <c r="S40" s="407">
        <f>SUM(S41:S60)</f>
        <v>16206</v>
      </c>
      <c r="T40" s="451">
        <f t="shared" si="5"/>
        <v>132.57526178010471</v>
      </c>
    </row>
    <row r="41" spans="1:20" x14ac:dyDescent="0.2">
      <c r="A41" s="458"/>
      <c r="B41" s="459">
        <v>2111</v>
      </c>
      <c r="C41" s="459">
        <v>1031</v>
      </c>
      <c r="D41" s="459">
        <v>201</v>
      </c>
      <c r="E41" s="459" t="s">
        <v>92</v>
      </c>
      <c r="F41" s="461">
        <v>400</v>
      </c>
      <c r="G41" s="479">
        <f>450+250</f>
        <v>700</v>
      </c>
      <c r="H41" s="345">
        <f t="shared" ref="H41:H49" si="21">SUM(F41:G41)</f>
        <v>1100</v>
      </c>
      <c r="I41" s="345">
        <v>1405.5619999999999</v>
      </c>
      <c r="J41" s="463">
        <f t="shared" si="17"/>
        <v>127.77836363636364</v>
      </c>
      <c r="K41" s="345">
        <v>1441.4511399999999</v>
      </c>
      <c r="L41" s="463">
        <f t="shared" si="18"/>
        <v>131.04101272727272</v>
      </c>
      <c r="M41" s="345">
        <v>3275.3921</v>
      </c>
      <c r="N41" s="463">
        <f t="shared" si="19"/>
        <v>297.76291818181818</v>
      </c>
      <c r="O41" s="345">
        <v>4216.8173999999999</v>
      </c>
      <c r="P41" s="463">
        <f t="shared" si="20"/>
        <v>383.34703636363633</v>
      </c>
      <c r="Q41" s="465">
        <f t="shared" ref="Q41:Q60" si="22">O41-H41</f>
        <v>3116.8173999999999</v>
      </c>
      <c r="R41" s="468"/>
      <c r="S41" s="408">
        <v>650</v>
      </c>
      <c r="T41" s="463">
        <f t="shared" si="5"/>
        <v>162.5</v>
      </c>
    </row>
    <row r="42" spans="1:20" x14ac:dyDescent="0.2">
      <c r="A42" s="458"/>
      <c r="B42" s="459">
        <v>2111</v>
      </c>
      <c r="C42" s="459">
        <v>2219</v>
      </c>
      <c r="D42" s="459">
        <v>43</v>
      </c>
      <c r="E42" s="459" t="s">
        <v>159</v>
      </c>
      <c r="F42" s="461">
        <v>1000</v>
      </c>
      <c r="G42" s="462"/>
      <c r="H42" s="345">
        <f t="shared" si="21"/>
        <v>1000</v>
      </c>
      <c r="I42" s="345">
        <v>240.637</v>
      </c>
      <c r="J42" s="463">
        <f t="shared" si="17"/>
        <v>24.063699999999997</v>
      </c>
      <c r="K42" s="345">
        <v>482.86500000000001</v>
      </c>
      <c r="L42" s="463">
        <f t="shared" si="18"/>
        <v>48.286499999999997</v>
      </c>
      <c r="M42" s="345">
        <v>743.70799999999997</v>
      </c>
      <c r="N42" s="463">
        <f t="shared" si="19"/>
        <v>74.370799999999988</v>
      </c>
      <c r="O42" s="345">
        <v>966.9</v>
      </c>
      <c r="P42" s="463">
        <f t="shared" si="20"/>
        <v>96.69</v>
      </c>
      <c r="Q42" s="465">
        <f t="shared" si="22"/>
        <v>-33.100000000000023</v>
      </c>
      <c r="R42" s="468"/>
      <c r="S42" s="408">
        <v>1000</v>
      </c>
      <c r="T42" s="463">
        <f t="shared" si="5"/>
        <v>100</v>
      </c>
    </row>
    <row r="43" spans="1:20" x14ac:dyDescent="0.2">
      <c r="A43" s="458"/>
      <c r="B43" s="459">
        <v>2111</v>
      </c>
      <c r="C43" s="459">
        <v>3113</v>
      </c>
      <c r="D43" s="459">
        <v>302</v>
      </c>
      <c r="E43" s="459" t="s">
        <v>268</v>
      </c>
      <c r="F43" s="461">
        <v>272</v>
      </c>
      <c r="G43" s="345"/>
      <c r="H43" s="345">
        <f t="shared" si="21"/>
        <v>272</v>
      </c>
      <c r="I43" s="345">
        <v>78.45675</v>
      </c>
      <c r="J43" s="463">
        <f t="shared" si="17"/>
        <v>28.844393382352941</v>
      </c>
      <c r="K43" s="345">
        <v>156.9135</v>
      </c>
      <c r="L43" s="463">
        <f t="shared" si="18"/>
        <v>57.688786764705881</v>
      </c>
      <c r="M43" s="345">
        <v>235.37025</v>
      </c>
      <c r="N43" s="463">
        <f t="shared" si="19"/>
        <v>86.533180147058815</v>
      </c>
      <c r="O43" s="345">
        <v>313.827</v>
      </c>
      <c r="P43" s="463">
        <f t="shared" si="20"/>
        <v>115.37757352941176</v>
      </c>
      <c r="Q43" s="465">
        <f t="shared" si="22"/>
        <v>41.826999999999998</v>
      </c>
      <c r="R43" s="480"/>
      <c r="S43" s="408">
        <v>537</v>
      </c>
      <c r="T43" s="463">
        <f t="shared" si="5"/>
        <v>197.4264705882353</v>
      </c>
    </row>
    <row r="44" spans="1:20" x14ac:dyDescent="0.2">
      <c r="A44" s="458"/>
      <c r="B44" s="459">
        <v>2111</v>
      </c>
      <c r="C44" s="459">
        <v>3141</v>
      </c>
      <c r="D44" s="459">
        <v>309</v>
      </c>
      <c r="E44" s="459" t="s">
        <v>319</v>
      </c>
      <c r="F44" s="461">
        <v>1950</v>
      </c>
      <c r="G44" s="345">
        <v>60</v>
      </c>
      <c r="H44" s="345">
        <f t="shared" si="21"/>
        <v>2010</v>
      </c>
      <c r="I44" s="345">
        <f>855.44388+11.70111</f>
        <v>867.14499000000001</v>
      </c>
      <c r="J44" s="463">
        <f t="shared" si="17"/>
        <v>43.141541791044773</v>
      </c>
      <c r="K44" s="345">
        <v>1571.9768099999999</v>
      </c>
      <c r="L44" s="463">
        <f t="shared" si="18"/>
        <v>78.207801492537314</v>
      </c>
      <c r="M44" s="345">
        <v>2649.36024</v>
      </c>
      <c r="N44" s="463">
        <f t="shared" si="19"/>
        <v>131.80896716417911</v>
      </c>
      <c r="O44" s="345">
        <f>3642.34832+11.70111</f>
        <v>3654.04943</v>
      </c>
      <c r="P44" s="463">
        <f t="shared" si="20"/>
        <v>181.7935039800995</v>
      </c>
      <c r="Q44" s="465">
        <f t="shared" si="22"/>
        <v>1644.04943</v>
      </c>
      <c r="R44" s="480"/>
      <c r="S44" s="408">
        <v>2700</v>
      </c>
      <c r="T44" s="463">
        <f t="shared" si="5"/>
        <v>138.46153846153845</v>
      </c>
    </row>
    <row r="45" spans="1:20" x14ac:dyDescent="0.2">
      <c r="A45" s="458"/>
      <c r="B45" s="459">
        <v>2111</v>
      </c>
      <c r="C45" s="459">
        <v>3613</v>
      </c>
      <c r="D45" s="459">
        <v>316</v>
      </c>
      <c r="E45" s="459" t="s">
        <v>270</v>
      </c>
      <c r="F45" s="461">
        <v>125</v>
      </c>
      <c r="G45" s="345"/>
      <c r="H45" s="345">
        <f t="shared" si="21"/>
        <v>125</v>
      </c>
      <c r="I45" s="345">
        <f>30.374+1.57293</f>
        <v>31.946929999999998</v>
      </c>
      <c r="J45" s="463">
        <f t="shared" si="17"/>
        <v>25.557544</v>
      </c>
      <c r="K45" s="345">
        <f>51.992+4.59071</f>
        <v>56.582709999999999</v>
      </c>
      <c r="L45" s="463">
        <f t="shared" si="18"/>
        <v>45.266168</v>
      </c>
      <c r="M45" s="345">
        <v>94.855000000000004</v>
      </c>
      <c r="N45" s="463">
        <f t="shared" si="19"/>
        <v>75.884</v>
      </c>
      <c r="O45" s="345">
        <f>118.871+3.01778</f>
        <v>121.88878</v>
      </c>
      <c r="P45" s="463">
        <f t="shared" si="20"/>
        <v>97.511024000000006</v>
      </c>
      <c r="Q45" s="465">
        <f t="shared" si="22"/>
        <v>-3.111220000000003</v>
      </c>
      <c r="R45" s="468"/>
      <c r="S45" s="408">
        <v>267</v>
      </c>
      <c r="T45" s="463">
        <f t="shared" si="5"/>
        <v>213.60000000000002</v>
      </c>
    </row>
    <row r="46" spans="1:20" x14ac:dyDescent="0.2">
      <c r="A46" s="458"/>
      <c r="B46" s="459">
        <v>2111</v>
      </c>
      <c r="C46" s="459">
        <v>3412</v>
      </c>
      <c r="D46" s="459">
        <v>216</v>
      </c>
      <c r="E46" s="459" t="s">
        <v>279</v>
      </c>
      <c r="F46" s="461">
        <v>126</v>
      </c>
      <c r="G46" s="345"/>
      <c r="H46" s="345">
        <f t="shared" si="21"/>
        <v>126</v>
      </c>
      <c r="I46" s="345">
        <v>36.841560000000001</v>
      </c>
      <c r="J46" s="463">
        <f t="shared" si="17"/>
        <v>29.239333333333335</v>
      </c>
      <c r="K46" s="345">
        <v>52.093229999999998</v>
      </c>
      <c r="L46" s="463">
        <f t="shared" si="18"/>
        <v>41.343833333333329</v>
      </c>
      <c r="M46" s="345">
        <v>81.143720000000002</v>
      </c>
      <c r="N46" s="463">
        <f t="shared" si="19"/>
        <v>64.399777777777771</v>
      </c>
      <c r="O46" s="345">
        <v>96.573390000000003</v>
      </c>
      <c r="P46" s="463">
        <f t="shared" si="20"/>
        <v>76.645547619047633</v>
      </c>
      <c r="Q46" s="465">
        <f t="shared" si="22"/>
        <v>-29.426609999999997</v>
      </c>
      <c r="R46" s="468"/>
      <c r="S46" s="408">
        <v>215</v>
      </c>
      <c r="T46" s="463">
        <f t="shared" si="5"/>
        <v>170.63492063492063</v>
      </c>
    </row>
    <row r="47" spans="1:20" x14ac:dyDescent="0.2">
      <c r="A47" s="458"/>
      <c r="B47" s="459">
        <v>2111</v>
      </c>
      <c r="C47" s="481" t="s">
        <v>240</v>
      </c>
      <c r="D47" s="459">
        <v>41</v>
      </c>
      <c r="E47" s="459" t="s">
        <v>40</v>
      </c>
      <c r="F47" s="461">
        <v>55</v>
      </c>
      <c r="G47" s="345"/>
      <c r="H47" s="345">
        <f t="shared" si="21"/>
        <v>55</v>
      </c>
      <c r="I47" s="345">
        <v>22.14</v>
      </c>
      <c r="J47" s="463">
        <f t="shared" si="17"/>
        <v>40.25454545454545</v>
      </c>
      <c r="K47" s="345">
        <v>35.340000000000003</v>
      </c>
      <c r="L47" s="463">
        <f t="shared" si="18"/>
        <v>64.254545454545465</v>
      </c>
      <c r="M47" s="345">
        <v>44.47</v>
      </c>
      <c r="N47" s="463">
        <f t="shared" si="19"/>
        <v>80.854545454545459</v>
      </c>
      <c r="O47" s="345">
        <v>54.67</v>
      </c>
      <c r="P47" s="463">
        <f t="shared" si="20"/>
        <v>99.4</v>
      </c>
      <c r="Q47" s="465">
        <f t="shared" si="22"/>
        <v>-0.32999999999999829</v>
      </c>
      <c r="R47" s="482"/>
      <c r="S47" s="408">
        <v>55</v>
      </c>
      <c r="T47" s="463">
        <f t="shared" si="5"/>
        <v>100</v>
      </c>
    </row>
    <row r="48" spans="1:20" x14ac:dyDescent="0.2">
      <c r="A48" s="458"/>
      <c r="B48" s="459">
        <v>2111</v>
      </c>
      <c r="C48" s="459">
        <v>3349</v>
      </c>
      <c r="D48" s="459">
        <v>42</v>
      </c>
      <c r="E48" s="459" t="s">
        <v>37</v>
      </c>
      <c r="F48" s="461">
        <v>80</v>
      </c>
      <c r="G48" s="345"/>
      <c r="H48" s="345">
        <f t="shared" si="21"/>
        <v>80</v>
      </c>
      <c r="I48" s="345">
        <v>21.294</v>
      </c>
      <c r="J48" s="463">
        <f t="shared" si="17"/>
        <v>26.6175</v>
      </c>
      <c r="K48" s="345">
        <v>47.701999999999998</v>
      </c>
      <c r="L48" s="463">
        <f t="shared" si="18"/>
        <v>59.627499999999998</v>
      </c>
      <c r="M48" s="345">
        <v>62.836500000000001</v>
      </c>
      <c r="N48" s="463">
        <f t="shared" si="19"/>
        <v>78.545625000000001</v>
      </c>
      <c r="O48" s="345">
        <v>85.380499999999998</v>
      </c>
      <c r="P48" s="463">
        <f t="shared" si="20"/>
        <v>106.72562500000001</v>
      </c>
      <c r="Q48" s="465">
        <f t="shared" si="22"/>
        <v>5.3804999999999978</v>
      </c>
      <c r="R48" s="482"/>
      <c r="S48" s="408">
        <v>80</v>
      </c>
      <c r="T48" s="463">
        <f t="shared" si="5"/>
        <v>100</v>
      </c>
    </row>
    <row r="49" spans="1:20" x14ac:dyDescent="0.2">
      <c r="A49" s="483"/>
      <c r="B49" s="484">
        <v>2111</v>
      </c>
      <c r="C49" s="484">
        <v>2144</v>
      </c>
      <c r="D49" s="484">
        <v>650</v>
      </c>
      <c r="E49" s="484" t="s">
        <v>383</v>
      </c>
      <c r="F49" s="461">
        <v>250</v>
      </c>
      <c r="G49" s="345"/>
      <c r="H49" s="345">
        <f t="shared" si="21"/>
        <v>250</v>
      </c>
      <c r="I49" s="345"/>
      <c r="J49" s="463">
        <f t="shared" ref="J49" si="23">I49/$H49*100</f>
        <v>0</v>
      </c>
      <c r="K49" s="345"/>
      <c r="L49" s="463">
        <f t="shared" ref="L49" si="24">K49/$H49*100</f>
        <v>0</v>
      </c>
      <c r="M49" s="345"/>
      <c r="N49" s="463">
        <f t="shared" ref="N49" si="25">M49/$H49*100</f>
        <v>0</v>
      </c>
      <c r="O49" s="345">
        <v>0</v>
      </c>
      <c r="P49" s="463">
        <f t="shared" ref="P49" si="26">O49/$H49*100</f>
        <v>0</v>
      </c>
      <c r="Q49" s="465">
        <f t="shared" si="22"/>
        <v>-250</v>
      </c>
      <c r="R49" s="485"/>
      <c r="S49" s="408">
        <v>250</v>
      </c>
      <c r="T49" s="463">
        <f t="shared" si="5"/>
        <v>100</v>
      </c>
    </row>
    <row r="50" spans="1:20" x14ac:dyDescent="0.2">
      <c r="A50" s="458"/>
      <c r="B50" s="459">
        <v>2111</v>
      </c>
      <c r="C50" s="459">
        <v>3612</v>
      </c>
      <c r="D50" s="459" t="s">
        <v>250</v>
      </c>
      <c r="E50" s="459" t="s">
        <v>162</v>
      </c>
      <c r="F50" s="461">
        <f>1150+800</f>
        <v>1950</v>
      </c>
      <c r="G50" s="345"/>
      <c r="H50" s="345">
        <f t="shared" ref="H50:H60" si="27">SUM(F50:G50)</f>
        <v>1950</v>
      </c>
      <c r="I50" s="345">
        <f>91.718-3.388+36.796</f>
        <v>125.126</v>
      </c>
      <c r="J50" s="463">
        <f t="shared" si="17"/>
        <v>6.4167179487179498</v>
      </c>
      <c r="K50" s="345">
        <f>337.638+4.934+280.165</f>
        <v>622.73700000000008</v>
      </c>
      <c r="L50" s="463">
        <f t="shared" si="18"/>
        <v>31.93523076923077</v>
      </c>
      <c r="M50" s="345">
        <v>1104.0440000000001</v>
      </c>
      <c r="N50" s="463">
        <f t="shared" si="19"/>
        <v>56.617641025641028</v>
      </c>
      <c r="O50" s="345">
        <f>1560.364</f>
        <v>1560.364</v>
      </c>
      <c r="P50" s="463">
        <f t="shared" si="20"/>
        <v>80.018666666666675</v>
      </c>
      <c r="Q50" s="465">
        <f t="shared" si="22"/>
        <v>-389.63599999999997</v>
      </c>
      <c r="R50" s="486"/>
      <c r="S50" s="408">
        <v>2929</v>
      </c>
      <c r="T50" s="463">
        <f t="shared" si="5"/>
        <v>150.2051282051282</v>
      </c>
    </row>
    <row r="51" spans="1:20" x14ac:dyDescent="0.2">
      <c r="A51" s="458"/>
      <c r="B51" s="459">
        <v>2111</v>
      </c>
      <c r="C51" s="459">
        <v>3613</v>
      </c>
      <c r="D51" s="459">
        <v>703</v>
      </c>
      <c r="E51" s="459" t="s">
        <v>163</v>
      </c>
      <c r="F51" s="461">
        <v>200</v>
      </c>
      <c r="G51" s="345"/>
      <c r="H51" s="345">
        <f t="shared" si="27"/>
        <v>200</v>
      </c>
      <c r="I51" s="345">
        <f>-48.188</f>
        <v>-48.188000000000002</v>
      </c>
      <c r="J51" s="463">
        <f t="shared" si="17"/>
        <v>-24.094000000000001</v>
      </c>
      <c r="K51" s="345">
        <v>46.856999999999999</v>
      </c>
      <c r="L51" s="463">
        <f t="shared" si="18"/>
        <v>23.4285</v>
      </c>
      <c r="M51" s="345">
        <v>142.67400000000001</v>
      </c>
      <c r="N51" s="463">
        <f t="shared" si="19"/>
        <v>71.337000000000003</v>
      </c>
      <c r="O51" s="345">
        <v>244.04599999999999</v>
      </c>
      <c r="P51" s="463">
        <f t="shared" si="20"/>
        <v>122.023</v>
      </c>
      <c r="Q51" s="465">
        <f t="shared" si="22"/>
        <v>44.045999999999992</v>
      </c>
      <c r="R51" s="487"/>
      <c r="S51" s="408">
        <v>400</v>
      </c>
      <c r="T51" s="463">
        <f t="shared" si="5"/>
        <v>200</v>
      </c>
    </row>
    <row r="52" spans="1:20" x14ac:dyDescent="0.2">
      <c r="A52" s="458"/>
      <c r="B52" s="459">
        <v>2111</v>
      </c>
      <c r="C52" s="459">
        <v>3632</v>
      </c>
      <c r="D52" s="459">
        <v>238</v>
      </c>
      <c r="E52" s="459" t="s">
        <v>38</v>
      </c>
      <c r="F52" s="461">
        <v>278</v>
      </c>
      <c r="G52" s="345"/>
      <c r="H52" s="345">
        <f t="shared" si="27"/>
        <v>278</v>
      </c>
      <c r="I52" s="345"/>
      <c r="J52" s="463">
        <f t="shared" si="17"/>
        <v>0</v>
      </c>
      <c r="K52" s="345">
        <v>45.95</v>
      </c>
      <c r="L52" s="463">
        <f t="shared" si="18"/>
        <v>16.528776978417266</v>
      </c>
      <c r="M52" s="345">
        <v>85.453999999999994</v>
      </c>
      <c r="N52" s="463">
        <f t="shared" si="19"/>
        <v>30.738848920863308</v>
      </c>
      <c r="O52" s="345">
        <f>176.914</f>
        <v>176.91399999999999</v>
      </c>
      <c r="P52" s="463">
        <f t="shared" si="20"/>
        <v>63.638129496402875</v>
      </c>
      <c r="Q52" s="465">
        <f t="shared" si="22"/>
        <v>-101.08600000000001</v>
      </c>
      <c r="R52" s="488"/>
      <c r="S52" s="408">
        <v>210</v>
      </c>
      <c r="T52" s="463">
        <f t="shared" si="5"/>
        <v>75.539568345323744</v>
      </c>
    </row>
    <row r="53" spans="1:20" x14ac:dyDescent="0.2">
      <c r="A53" s="458"/>
      <c r="B53" s="459">
        <v>2111</v>
      </c>
      <c r="C53" s="459">
        <v>3639</v>
      </c>
      <c r="D53" s="459">
        <v>21.318999999999999</v>
      </c>
      <c r="E53" s="459" t="s">
        <v>227</v>
      </c>
      <c r="F53" s="461">
        <f>10+96</f>
        <v>106</v>
      </c>
      <c r="G53" s="345"/>
      <c r="H53" s="345">
        <f t="shared" si="27"/>
        <v>106</v>
      </c>
      <c r="I53" s="345">
        <v>42.564</v>
      </c>
      <c r="J53" s="463">
        <f t="shared" si="17"/>
        <v>40.154716981132076</v>
      </c>
      <c r="K53" s="345">
        <f>71.595+10.5</f>
        <v>82.094999999999999</v>
      </c>
      <c r="L53" s="463">
        <f t="shared" si="18"/>
        <v>77.448113207547166</v>
      </c>
      <c r="M53" s="345">
        <f>100.695+21</f>
        <v>121.69499999999999</v>
      </c>
      <c r="N53" s="463">
        <f t="shared" si="19"/>
        <v>114.8066037735849</v>
      </c>
      <c r="O53" s="345">
        <f>122.133+31.5</f>
        <v>153.63299999999998</v>
      </c>
      <c r="P53" s="463">
        <f t="shared" si="20"/>
        <v>144.93679245283019</v>
      </c>
      <c r="Q53" s="465">
        <f t="shared" si="22"/>
        <v>47.632999999999981</v>
      </c>
      <c r="R53" s="488"/>
      <c r="S53" s="408">
        <v>110</v>
      </c>
      <c r="T53" s="463">
        <f t="shared" si="5"/>
        <v>103.77358490566037</v>
      </c>
    </row>
    <row r="54" spans="1:20" x14ac:dyDescent="0.2">
      <c r="A54" s="458">
        <v>20</v>
      </c>
      <c r="B54" s="459">
        <v>2111.2323999999999</v>
      </c>
      <c r="C54" s="459">
        <v>3639</v>
      </c>
      <c r="D54" s="459">
        <v>239.22300000000001</v>
      </c>
      <c r="E54" s="459" t="s">
        <v>318</v>
      </c>
      <c r="F54" s="461">
        <v>20</v>
      </c>
      <c r="G54" s="345"/>
      <c r="H54" s="345">
        <f t="shared" si="27"/>
        <v>20</v>
      </c>
      <c r="I54" s="345">
        <v>3.2465099999999998</v>
      </c>
      <c r="J54" s="463">
        <f t="shared" si="17"/>
        <v>16.23255</v>
      </c>
      <c r="K54" s="345">
        <f>5+4.71375</f>
        <v>9.713750000000001</v>
      </c>
      <c r="L54" s="463">
        <f t="shared" si="18"/>
        <v>48.568750000000009</v>
      </c>
      <c r="M54" s="345">
        <f>20</f>
        <v>20</v>
      </c>
      <c r="N54" s="463">
        <f t="shared" si="19"/>
        <v>100</v>
      </c>
      <c r="O54" s="345">
        <f>24.9</f>
        <v>24.9</v>
      </c>
      <c r="P54" s="463">
        <f t="shared" si="20"/>
        <v>124.49999999999999</v>
      </c>
      <c r="Q54" s="465">
        <f t="shared" si="22"/>
        <v>4.8999999999999986</v>
      </c>
      <c r="R54" s="468"/>
      <c r="S54" s="408">
        <v>20</v>
      </c>
      <c r="T54" s="463">
        <f t="shared" si="5"/>
        <v>100</v>
      </c>
    </row>
    <row r="55" spans="1:20" x14ac:dyDescent="0.2">
      <c r="A55" s="458"/>
      <c r="B55" s="459">
        <v>2111</v>
      </c>
      <c r="C55" s="459">
        <v>3639</v>
      </c>
      <c r="D55" s="459">
        <v>243</v>
      </c>
      <c r="E55" s="459" t="s">
        <v>90</v>
      </c>
      <c r="F55" s="461">
        <v>40</v>
      </c>
      <c r="G55" s="489"/>
      <c r="H55" s="345">
        <f t="shared" si="27"/>
        <v>40</v>
      </c>
      <c r="I55" s="345">
        <v>8.3849999999999998</v>
      </c>
      <c r="J55" s="463">
        <f t="shared" si="17"/>
        <v>20.962500000000002</v>
      </c>
      <c r="K55" s="345">
        <v>22.57</v>
      </c>
      <c r="L55" s="463">
        <f t="shared" si="18"/>
        <v>56.425000000000004</v>
      </c>
      <c r="M55" s="345">
        <v>43.56</v>
      </c>
      <c r="N55" s="463">
        <f t="shared" si="19"/>
        <v>108.89999999999999</v>
      </c>
      <c r="O55" s="345">
        <v>56.875</v>
      </c>
      <c r="P55" s="463">
        <f t="shared" si="20"/>
        <v>142.1875</v>
      </c>
      <c r="Q55" s="465">
        <f t="shared" si="22"/>
        <v>16.875</v>
      </c>
      <c r="R55" s="490"/>
      <c r="S55" s="408">
        <v>50</v>
      </c>
      <c r="T55" s="463">
        <f t="shared" si="5"/>
        <v>125</v>
      </c>
    </row>
    <row r="56" spans="1:20" x14ac:dyDescent="0.2">
      <c r="A56" s="458"/>
      <c r="B56" s="459">
        <v>2111</v>
      </c>
      <c r="C56" s="459">
        <v>4351</v>
      </c>
      <c r="D56" s="459">
        <v>227</v>
      </c>
      <c r="E56" s="459" t="s">
        <v>137</v>
      </c>
      <c r="F56" s="461">
        <f>110+1000+5+150</f>
        <v>1265</v>
      </c>
      <c r="G56" s="462"/>
      <c r="H56" s="345">
        <f t="shared" si="27"/>
        <v>1265</v>
      </c>
      <c r="I56" s="345">
        <f>240.05+25+1.49037</f>
        <v>266.54037</v>
      </c>
      <c r="J56" s="463">
        <f t="shared" si="17"/>
        <v>21.070384980237154</v>
      </c>
      <c r="K56" s="345">
        <f>527.986+100+9.03809</f>
        <v>637.02409</v>
      </c>
      <c r="L56" s="463">
        <f t="shared" si="18"/>
        <v>50.357635573122529</v>
      </c>
      <c r="M56" s="345">
        <f>41.892+698.126+1.874</f>
        <v>741.89200000000005</v>
      </c>
      <c r="N56" s="463">
        <f t="shared" si="19"/>
        <v>58.647588932806329</v>
      </c>
      <c r="O56" s="345">
        <f>1016.914+235+3.21383</f>
        <v>1255.1278299999999</v>
      </c>
      <c r="P56" s="463">
        <f t="shared" si="20"/>
        <v>99.219591304347816</v>
      </c>
      <c r="Q56" s="465">
        <f t="shared" si="22"/>
        <v>-9.8721700000000965</v>
      </c>
      <c r="R56" s="491"/>
      <c r="S56" s="408">
        <f>80+1000+3+100</f>
        <v>1183</v>
      </c>
      <c r="T56" s="463">
        <f t="shared" si="5"/>
        <v>93.517786561264828</v>
      </c>
    </row>
    <row r="57" spans="1:20" x14ac:dyDescent="0.2">
      <c r="A57" s="458"/>
      <c r="B57" s="459">
        <v>2111</v>
      </c>
      <c r="C57" s="459">
        <v>6171</v>
      </c>
      <c r="D57" s="459" t="s">
        <v>414</v>
      </c>
      <c r="E57" s="459" t="s">
        <v>164</v>
      </c>
      <c r="F57" s="461">
        <f>50</f>
        <v>50</v>
      </c>
      <c r="G57" s="462"/>
      <c r="H57" s="345">
        <f t="shared" si="27"/>
        <v>50</v>
      </c>
      <c r="I57" s="345">
        <f>0.08+14.887+1.683+0.415+0.0531-0.04999+44.36426</f>
        <v>61.432370000000006</v>
      </c>
      <c r="J57" s="463">
        <f t="shared" si="17"/>
        <v>122.86474000000001</v>
      </c>
      <c r="K57" s="345">
        <f>0.8+14.887+1.003+8.3+63.62334+0.5+0.10679</f>
        <v>89.220129999999997</v>
      </c>
      <c r="L57" s="463">
        <f t="shared" si="18"/>
        <v>178.44025999999999</v>
      </c>
      <c r="M57" s="345">
        <f>1.723+0.845+13.7+11.70111+4.59071+12.512+4.71375+4.7042+63.62334+14.887+0.08+0.16107+185</f>
        <v>318.24117999999999</v>
      </c>
      <c r="N57" s="463">
        <f t="shared" si="19"/>
        <v>636.48235999999997</v>
      </c>
      <c r="O57" s="345">
        <f>1.723+0.72+0.21535+0.13168+25.4+1.5+4.71375+14.887+52.83263+0.08+12.512+0.56-0.00668</f>
        <v>115.26873000000001</v>
      </c>
      <c r="P57" s="463">
        <f t="shared" si="20"/>
        <v>230.53745999999998</v>
      </c>
      <c r="Q57" s="465">
        <f t="shared" si="22"/>
        <v>65.268730000000005</v>
      </c>
      <c r="R57" s="468"/>
      <c r="S57" s="408">
        <v>50</v>
      </c>
      <c r="T57" s="463">
        <f t="shared" si="5"/>
        <v>100</v>
      </c>
    </row>
    <row r="58" spans="1:20" x14ac:dyDescent="0.2">
      <c r="A58" s="458"/>
      <c r="B58" s="459">
        <v>2119</v>
      </c>
      <c r="C58" s="459">
        <v>2121</v>
      </c>
      <c r="D58" s="459">
        <v>20</v>
      </c>
      <c r="E58" s="459" t="s">
        <v>204</v>
      </c>
      <c r="F58" s="461">
        <v>50</v>
      </c>
      <c r="G58" s="462"/>
      <c r="H58" s="345">
        <f t="shared" si="27"/>
        <v>50</v>
      </c>
      <c r="I58" s="345"/>
      <c r="J58" s="463">
        <f t="shared" si="17"/>
        <v>0</v>
      </c>
      <c r="K58" s="345">
        <v>0.60499999999999998</v>
      </c>
      <c r="L58" s="463">
        <f t="shared" si="18"/>
        <v>1.21</v>
      </c>
      <c r="M58" s="345">
        <v>115.7</v>
      </c>
      <c r="N58" s="463">
        <f t="shared" si="19"/>
        <v>231.4</v>
      </c>
      <c r="O58" s="345">
        <v>115.7</v>
      </c>
      <c r="P58" s="463">
        <f t="shared" si="20"/>
        <v>231.4</v>
      </c>
      <c r="Q58" s="465">
        <f t="shared" si="22"/>
        <v>65.7</v>
      </c>
      <c r="R58" s="468"/>
      <c r="S58" s="408">
        <v>100</v>
      </c>
      <c r="T58" s="463">
        <f t="shared" si="5"/>
        <v>200</v>
      </c>
    </row>
    <row r="59" spans="1:20" x14ac:dyDescent="0.2">
      <c r="A59" s="458"/>
      <c r="B59" s="459" t="s">
        <v>455</v>
      </c>
      <c r="C59" s="459"/>
      <c r="D59" s="459"/>
      <c r="E59" s="459" t="s">
        <v>454</v>
      </c>
      <c r="F59" s="461">
        <f>888+660+338+66+655</f>
        <v>2607</v>
      </c>
      <c r="G59" s="345"/>
      <c r="H59" s="345">
        <f t="shared" si="27"/>
        <v>2607</v>
      </c>
      <c r="I59" s="345"/>
      <c r="J59" s="463">
        <f t="shared" si="17"/>
        <v>0</v>
      </c>
      <c r="K59" s="345"/>
      <c r="L59" s="463">
        <f t="shared" si="18"/>
        <v>0</v>
      </c>
      <c r="M59" s="345">
        <f>337.767+660.227+887.975+66.257+654.599</f>
        <v>2606.8250000000003</v>
      </c>
      <c r="N59" s="463">
        <f t="shared" si="19"/>
        <v>99.993287303413894</v>
      </c>
      <c r="O59" s="345">
        <f>337.767+660.227+887.975+66.257+654.599</f>
        <v>2606.8250000000003</v>
      </c>
      <c r="P59" s="492">
        <f t="shared" si="20"/>
        <v>99.993287303413894</v>
      </c>
      <c r="Q59" s="465">
        <f t="shared" si="22"/>
        <v>-0.17499999999972715</v>
      </c>
      <c r="R59" s="493"/>
      <c r="S59" s="408">
        <f>888+660+338+66+655+993</f>
        <v>3600</v>
      </c>
      <c r="T59" s="492">
        <f t="shared" si="5"/>
        <v>138.08975834292289</v>
      </c>
    </row>
    <row r="60" spans="1:20" x14ac:dyDescent="0.2">
      <c r="A60" s="458"/>
      <c r="B60" s="459">
        <v>2324</v>
      </c>
      <c r="C60" s="459">
        <v>3725</v>
      </c>
      <c r="D60" s="459">
        <v>240</v>
      </c>
      <c r="E60" s="459" t="s">
        <v>115</v>
      </c>
      <c r="F60" s="461">
        <f>1300+100</f>
        <v>1400</v>
      </c>
      <c r="G60" s="345">
        <v>270</v>
      </c>
      <c r="H60" s="345">
        <f t="shared" si="27"/>
        <v>1670</v>
      </c>
      <c r="I60" s="345">
        <f>83.432+364.8775</f>
        <v>448.30950000000001</v>
      </c>
      <c r="J60" s="463">
        <f t="shared" si="17"/>
        <v>26.844880239520958</v>
      </c>
      <c r="K60" s="345">
        <f>88.375+768.28491</f>
        <v>856.65990999999997</v>
      </c>
      <c r="L60" s="463">
        <f>K60/$H60*100</f>
        <v>51.297000598802391</v>
      </c>
      <c r="M60" s="345">
        <f>145.855+1194.03309</f>
        <v>1339.8880899999999</v>
      </c>
      <c r="N60" s="463">
        <f>M60/$H60*100</f>
        <v>80.232819760479032</v>
      </c>
      <c r="O60" s="345">
        <f>154.345+36.1306+1617.9935</f>
        <v>1808.4691</v>
      </c>
      <c r="P60" s="463">
        <f t="shared" si="20"/>
        <v>108.2915628742515</v>
      </c>
      <c r="Q60" s="465">
        <f t="shared" si="22"/>
        <v>138.46910000000003</v>
      </c>
      <c r="R60" s="457" t="s">
        <v>407</v>
      </c>
      <c r="S60" s="408">
        <f>1700+100</f>
        <v>1800</v>
      </c>
      <c r="T60" s="463">
        <f t="shared" si="5"/>
        <v>128.57142857142858</v>
      </c>
    </row>
    <row r="61" spans="1:20" ht="15" customHeight="1" x14ac:dyDescent="0.2">
      <c r="A61" s="458"/>
      <c r="B61" s="458"/>
      <c r="C61" s="459"/>
      <c r="D61" s="458"/>
      <c r="E61" s="350" t="s">
        <v>41</v>
      </c>
      <c r="F61" s="449">
        <f>SUM(F62:F71)</f>
        <v>14301</v>
      </c>
      <c r="G61" s="449">
        <f>SUM(G62:G71)</f>
        <v>0</v>
      </c>
      <c r="H61" s="449">
        <f>SUM(H62:H71)</f>
        <v>14301</v>
      </c>
      <c r="I61" s="449">
        <f>SUM(I62:I71)</f>
        <v>3582.3433100000002</v>
      </c>
      <c r="J61" s="455">
        <f t="shared" si="17"/>
        <v>25.049600097895251</v>
      </c>
      <c r="K61" s="449">
        <f>SUM(K62:K71)</f>
        <v>6725.5120000000006</v>
      </c>
      <c r="L61" s="455">
        <f t="shared" ref="L61:L90" si="28">K61/$H61*100</f>
        <v>47.028263757779179</v>
      </c>
      <c r="M61" s="449">
        <f>SUM(M62:M71)</f>
        <v>10011.25632</v>
      </c>
      <c r="N61" s="455">
        <f t="shared" ref="N61:N90" si="29">M61/$H61*100</f>
        <v>70.003890077616944</v>
      </c>
      <c r="O61" s="449">
        <f>SUM(O62:O71)</f>
        <v>14121.183270000001</v>
      </c>
      <c r="P61" s="455">
        <f t="shared" si="20"/>
        <v>98.742628277742824</v>
      </c>
      <c r="Q61" s="456">
        <f>SUM(Q62:Q71)</f>
        <v>-179.81672999999972</v>
      </c>
      <c r="R61" s="468"/>
      <c r="S61" s="407">
        <f>SUM(S62:S71)</f>
        <v>14351</v>
      </c>
      <c r="T61" s="451">
        <f t="shared" si="5"/>
        <v>100.34962590028668</v>
      </c>
    </row>
    <row r="62" spans="1:20" x14ac:dyDescent="0.2">
      <c r="A62" s="458"/>
      <c r="B62" s="459">
        <v>2131</v>
      </c>
      <c r="C62" s="459">
        <v>1012</v>
      </c>
      <c r="D62" s="459">
        <v>38</v>
      </c>
      <c r="E62" s="459" t="s">
        <v>172</v>
      </c>
      <c r="F62" s="461">
        <v>497</v>
      </c>
      <c r="G62" s="345"/>
      <c r="H62" s="345">
        <f t="shared" ref="H62:H71" si="30">SUM(F62:G62)</f>
        <v>497</v>
      </c>
      <c r="I62" s="345">
        <v>166.80713</v>
      </c>
      <c r="J62" s="463">
        <f t="shared" si="17"/>
        <v>33.56280281690141</v>
      </c>
      <c r="K62" s="345">
        <v>281.01094000000001</v>
      </c>
      <c r="L62" s="463">
        <f t="shared" si="28"/>
        <v>56.541436619718311</v>
      </c>
      <c r="M62" s="345">
        <v>458.64843000000002</v>
      </c>
      <c r="N62" s="463">
        <f t="shared" si="29"/>
        <v>92.283386317907443</v>
      </c>
      <c r="O62" s="345">
        <v>526.21392000000003</v>
      </c>
      <c r="P62" s="463">
        <f t="shared" si="20"/>
        <v>105.8780523138833</v>
      </c>
      <c r="Q62" s="465">
        <f t="shared" ref="Q62:Q76" si="31">O62-H62</f>
        <v>29.21392000000003</v>
      </c>
      <c r="R62" s="468" t="s">
        <v>304</v>
      </c>
      <c r="S62" s="408">
        <v>550</v>
      </c>
      <c r="T62" s="463">
        <f t="shared" si="5"/>
        <v>110.66398390342052</v>
      </c>
    </row>
    <row r="63" spans="1:20" x14ac:dyDescent="0.2">
      <c r="A63" s="458"/>
      <c r="B63" s="459">
        <v>2132</v>
      </c>
      <c r="C63" s="459">
        <v>2121</v>
      </c>
      <c r="D63" s="459">
        <v>237</v>
      </c>
      <c r="E63" s="459" t="s">
        <v>173</v>
      </c>
      <c r="F63" s="461">
        <v>1435</v>
      </c>
      <c r="G63" s="345"/>
      <c r="H63" s="345">
        <f t="shared" si="30"/>
        <v>1435</v>
      </c>
      <c r="I63" s="345">
        <f>11.04439+361.88973</f>
        <v>372.93412000000001</v>
      </c>
      <c r="J63" s="463">
        <f t="shared" si="17"/>
        <v>25.988440418118469</v>
      </c>
      <c r="K63" s="345">
        <f>23.4188+723.78769</f>
        <v>747.20649000000003</v>
      </c>
      <c r="L63" s="463">
        <f t="shared" ref="L63:L74" si="32">K63/$H63*100</f>
        <v>52.070138675958191</v>
      </c>
      <c r="M63" s="345">
        <f>39.93172+1149.7211</f>
        <v>1189.65282</v>
      </c>
      <c r="N63" s="463">
        <f t="shared" ref="N63:N74" si="33">M63/$H63*100</f>
        <v>82.902635540069696</v>
      </c>
      <c r="O63" s="345">
        <f>43.83618+1576.90111</f>
        <v>1620.73729</v>
      </c>
      <c r="P63" s="463">
        <f t="shared" si="20"/>
        <v>112.94336515679441</v>
      </c>
      <c r="Q63" s="465">
        <f t="shared" si="31"/>
        <v>185.73729000000003</v>
      </c>
      <c r="R63" s="494"/>
      <c r="S63" s="408">
        <v>1650</v>
      </c>
      <c r="T63" s="463">
        <f t="shared" si="5"/>
        <v>114.98257839721255</v>
      </c>
    </row>
    <row r="64" spans="1:20" x14ac:dyDescent="0.2">
      <c r="A64" s="458"/>
      <c r="B64" s="459">
        <v>2132</v>
      </c>
      <c r="C64" s="459">
        <v>3113</v>
      </c>
      <c r="D64" s="459">
        <v>302</v>
      </c>
      <c r="E64" s="459" t="s">
        <v>267</v>
      </c>
      <c r="F64" s="461">
        <v>195</v>
      </c>
      <c r="G64" s="345"/>
      <c r="H64" s="345">
        <f t="shared" si="30"/>
        <v>195</v>
      </c>
      <c r="I64" s="345">
        <v>52.953749999999999</v>
      </c>
      <c r="J64" s="463">
        <f t="shared" si="17"/>
        <v>27.155769230769227</v>
      </c>
      <c r="K64" s="345">
        <v>105.9075</v>
      </c>
      <c r="L64" s="463">
        <f t="shared" si="32"/>
        <v>54.311538461538454</v>
      </c>
      <c r="M64" s="345">
        <v>158.86125000000001</v>
      </c>
      <c r="N64" s="463">
        <f t="shared" si="33"/>
        <v>81.467307692307699</v>
      </c>
      <c r="O64" s="345">
        <v>211.815</v>
      </c>
      <c r="P64" s="463">
        <f t="shared" si="20"/>
        <v>108.62307692307691</v>
      </c>
      <c r="Q64" s="465">
        <f t="shared" si="31"/>
        <v>16.814999999999998</v>
      </c>
      <c r="R64" s="480"/>
      <c r="S64" s="408">
        <v>219</v>
      </c>
      <c r="T64" s="463">
        <f t="shared" si="5"/>
        <v>112.30769230769231</v>
      </c>
    </row>
    <row r="65" spans="1:20" x14ac:dyDescent="0.2">
      <c r="A65" s="458"/>
      <c r="B65" s="459">
        <v>2132</v>
      </c>
      <c r="C65" s="459">
        <v>3613</v>
      </c>
      <c r="D65" s="459">
        <v>316</v>
      </c>
      <c r="E65" s="459" t="s">
        <v>269</v>
      </c>
      <c r="F65" s="461">
        <v>281</v>
      </c>
      <c r="G65" s="345"/>
      <c r="H65" s="345">
        <f t="shared" si="30"/>
        <v>281</v>
      </c>
      <c r="I65" s="345">
        <v>217.73400000000001</v>
      </c>
      <c r="J65" s="463">
        <f t="shared" si="17"/>
        <v>77.485409252669044</v>
      </c>
      <c r="K65" s="345">
        <v>290.303</v>
      </c>
      <c r="L65" s="463">
        <f t="shared" si="32"/>
        <v>103.31067615658363</v>
      </c>
      <c r="M65" s="345">
        <v>290.303</v>
      </c>
      <c r="N65" s="463">
        <f t="shared" si="33"/>
        <v>103.31067615658363</v>
      </c>
      <c r="O65" s="345">
        <v>290.38400000000001</v>
      </c>
      <c r="P65" s="463">
        <f t="shared" si="20"/>
        <v>103.33950177935944</v>
      </c>
      <c r="Q65" s="465">
        <f t="shared" si="31"/>
        <v>9.3840000000000146</v>
      </c>
      <c r="R65" s="480"/>
      <c r="S65" s="408">
        <v>301</v>
      </c>
      <c r="T65" s="463">
        <f t="shared" si="5"/>
        <v>107.11743772241992</v>
      </c>
    </row>
    <row r="66" spans="1:20" x14ac:dyDescent="0.2">
      <c r="A66" s="458"/>
      <c r="B66" s="459">
        <v>2132</v>
      </c>
      <c r="C66" s="459">
        <v>3612</v>
      </c>
      <c r="D66" s="459" t="s">
        <v>246</v>
      </c>
      <c r="E66" s="459" t="s">
        <v>136</v>
      </c>
      <c r="F66" s="461">
        <f>2500+1680+4150</f>
        <v>8330</v>
      </c>
      <c r="G66" s="345"/>
      <c r="H66" s="345">
        <f t="shared" si="30"/>
        <v>8330</v>
      </c>
      <c r="I66" s="345">
        <f>619.786+0.025+408.225+944.186+0.024</f>
        <v>1972.2460000000001</v>
      </c>
      <c r="J66" s="463">
        <f t="shared" si="17"/>
        <v>23.676422569027611</v>
      </c>
      <c r="K66" s="345">
        <f>1203.067+0.095+805.335+1857.455+0.03</f>
        <v>3865.9820000000004</v>
      </c>
      <c r="L66" s="463">
        <f t="shared" si="32"/>
        <v>46.41034813925571</v>
      </c>
      <c r="M66" s="345">
        <v>5829.5</v>
      </c>
      <c r="N66" s="463">
        <f t="shared" si="33"/>
        <v>69.981992797118849</v>
      </c>
      <c r="O66" s="345">
        <f>7814.5082+0.33</f>
        <v>7814.8382000000001</v>
      </c>
      <c r="P66" s="463">
        <f t="shared" si="20"/>
        <v>93.815584633853547</v>
      </c>
      <c r="Q66" s="465">
        <f t="shared" si="31"/>
        <v>-515.16179999999986</v>
      </c>
      <c r="R66" s="495"/>
      <c r="S66" s="408">
        <v>8309</v>
      </c>
      <c r="T66" s="463">
        <f t="shared" si="5"/>
        <v>99.747899159663859</v>
      </c>
    </row>
    <row r="67" spans="1:20" x14ac:dyDescent="0.2">
      <c r="A67" s="458"/>
      <c r="B67" s="459">
        <v>2132</v>
      </c>
      <c r="C67" s="459">
        <v>3613</v>
      </c>
      <c r="D67" s="459">
        <v>703</v>
      </c>
      <c r="E67" s="459" t="s">
        <v>42</v>
      </c>
      <c r="F67" s="461">
        <v>620</v>
      </c>
      <c r="G67" s="345"/>
      <c r="H67" s="345">
        <f t="shared" si="30"/>
        <v>620</v>
      </c>
      <c r="I67" s="345">
        <v>152.798</v>
      </c>
      <c r="J67" s="463">
        <f t="shared" si="17"/>
        <v>24.644838709677419</v>
      </c>
      <c r="K67" s="345">
        <v>311.697</v>
      </c>
      <c r="L67" s="463">
        <f t="shared" si="32"/>
        <v>50.273709677419355</v>
      </c>
      <c r="M67" s="345">
        <v>477.447</v>
      </c>
      <c r="N67" s="463">
        <f t="shared" si="33"/>
        <v>77.007580645161283</v>
      </c>
      <c r="O67" s="345">
        <f>645.93582</f>
        <v>645.93582000000004</v>
      </c>
      <c r="P67" s="463">
        <f t="shared" si="20"/>
        <v>104.18319677419356</v>
      </c>
      <c r="Q67" s="465">
        <f t="shared" si="31"/>
        <v>25.935820000000035</v>
      </c>
      <c r="R67" s="496"/>
      <c r="S67" s="408">
        <v>708</v>
      </c>
      <c r="T67" s="463">
        <f t="shared" si="5"/>
        <v>114.19354838709677</v>
      </c>
    </row>
    <row r="68" spans="1:20" ht="13.5" customHeight="1" x14ac:dyDescent="0.2">
      <c r="A68" s="458"/>
      <c r="B68" s="459">
        <v>2132</v>
      </c>
      <c r="C68" s="459">
        <v>3634</v>
      </c>
      <c r="D68" s="459">
        <v>21</v>
      </c>
      <c r="E68" s="459" t="s">
        <v>43</v>
      </c>
      <c r="F68" s="461">
        <f>1235</f>
        <v>1235</v>
      </c>
      <c r="G68" s="345"/>
      <c r="H68" s="345">
        <f t="shared" si="30"/>
        <v>1235</v>
      </c>
      <c r="I68" s="345">
        <v>364.14242000000002</v>
      </c>
      <c r="J68" s="463">
        <f t="shared" si="17"/>
        <v>29.485216194331986</v>
      </c>
      <c r="K68" s="345">
        <v>668.34241999999995</v>
      </c>
      <c r="L68" s="463">
        <f t="shared" si="32"/>
        <v>54.116795141700401</v>
      </c>
      <c r="M68" s="345">
        <v>972.54241999999999</v>
      </c>
      <c r="N68" s="463">
        <f t="shared" si="33"/>
        <v>78.748374089068832</v>
      </c>
      <c r="O68" s="345">
        <v>1276.74242</v>
      </c>
      <c r="P68" s="463">
        <f t="shared" si="20"/>
        <v>103.37995303643726</v>
      </c>
      <c r="Q68" s="465">
        <f t="shared" si="31"/>
        <v>41.742420000000038</v>
      </c>
      <c r="R68" s="495"/>
      <c r="S68" s="408">
        <v>825</v>
      </c>
      <c r="T68" s="463">
        <f t="shared" si="5"/>
        <v>66.801619433198383</v>
      </c>
    </row>
    <row r="69" spans="1:20" x14ac:dyDescent="0.2">
      <c r="A69" s="458"/>
      <c r="B69" s="459">
        <v>2132</v>
      </c>
      <c r="C69" s="459">
        <v>3639</v>
      </c>
      <c r="D69" s="459">
        <v>21</v>
      </c>
      <c r="E69" s="459" t="s">
        <v>160</v>
      </c>
      <c r="F69" s="461">
        <v>500</v>
      </c>
      <c r="G69" s="345"/>
      <c r="H69" s="345">
        <f t="shared" si="30"/>
        <v>500</v>
      </c>
      <c r="I69" s="461">
        <v>218.08989</v>
      </c>
      <c r="J69" s="463">
        <f t="shared" si="17"/>
        <v>43.617978000000001</v>
      </c>
      <c r="K69" s="345">
        <v>321.81765000000001</v>
      </c>
      <c r="L69" s="463">
        <f t="shared" si="32"/>
        <v>64.363529999999997</v>
      </c>
      <c r="M69" s="345">
        <v>432.44940000000003</v>
      </c>
      <c r="N69" s="463">
        <f t="shared" si="33"/>
        <v>86.489880000000014</v>
      </c>
      <c r="O69" s="345">
        <v>527.08861999999999</v>
      </c>
      <c r="P69" s="463">
        <f t="shared" si="20"/>
        <v>105.41772400000001</v>
      </c>
      <c r="Q69" s="465">
        <f t="shared" si="31"/>
        <v>27.088619999999992</v>
      </c>
      <c r="R69" s="495"/>
      <c r="S69" s="408">
        <v>546</v>
      </c>
      <c r="T69" s="463">
        <f t="shared" si="5"/>
        <v>109.2</v>
      </c>
    </row>
    <row r="70" spans="1:20" x14ac:dyDescent="0.2">
      <c r="A70" s="458"/>
      <c r="B70" s="459">
        <v>2132</v>
      </c>
      <c r="C70" s="459">
        <v>3639</v>
      </c>
      <c r="D70" s="459">
        <v>319</v>
      </c>
      <c r="E70" s="459" t="s">
        <v>229</v>
      </c>
      <c r="F70" s="461">
        <v>275</v>
      </c>
      <c r="G70" s="345"/>
      <c r="H70" s="345">
        <f t="shared" si="30"/>
        <v>275</v>
      </c>
      <c r="I70" s="345">
        <v>64.638000000000005</v>
      </c>
      <c r="J70" s="463">
        <f t="shared" si="17"/>
        <v>23.504727272727273</v>
      </c>
      <c r="K70" s="345">
        <v>133.245</v>
      </c>
      <c r="L70" s="463">
        <f t="shared" si="32"/>
        <v>48.452727272727273</v>
      </c>
      <c r="M70" s="345">
        <v>201.852</v>
      </c>
      <c r="N70" s="463">
        <f t="shared" si="33"/>
        <v>73.400727272727266</v>
      </c>
      <c r="O70" s="345">
        <v>274.428</v>
      </c>
      <c r="P70" s="463">
        <f t="shared" si="20"/>
        <v>99.792000000000002</v>
      </c>
      <c r="Q70" s="465">
        <f t="shared" si="31"/>
        <v>-0.57200000000000273</v>
      </c>
      <c r="R70" s="495"/>
      <c r="S70" s="408">
        <v>275</v>
      </c>
      <c r="T70" s="463">
        <f t="shared" ref="T70:T86" si="34">S70/$F70*100</f>
        <v>100</v>
      </c>
    </row>
    <row r="71" spans="1:20" x14ac:dyDescent="0.2">
      <c r="A71" s="458"/>
      <c r="B71" s="459">
        <v>2132</v>
      </c>
      <c r="C71" s="459">
        <v>4355</v>
      </c>
      <c r="D71" s="459">
        <v>311</v>
      </c>
      <c r="E71" s="459" t="s">
        <v>345</v>
      </c>
      <c r="F71" s="461">
        <v>933</v>
      </c>
      <c r="G71" s="345"/>
      <c r="H71" s="345">
        <f t="shared" si="30"/>
        <v>933</v>
      </c>
      <c r="I71" s="345"/>
      <c r="J71" s="463">
        <f t="shared" si="17"/>
        <v>0</v>
      </c>
      <c r="K71" s="345"/>
      <c r="L71" s="463">
        <f t="shared" si="32"/>
        <v>0</v>
      </c>
      <c r="M71" s="345">
        <v>0</v>
      </c>
      <c r="N71" s="463">
        <f t="shared" si="33"/>
        <v>0</v>
      </c>
      <c r="O71" s="345">
        <v>933</v>
      </c>
      <c r="P71" s="463">
        <f t="shared" si="20"/>
        <v>100</v>
      </c>
      <c r="Q71" s="465">
        <f t="shared" si="31"/>
        <v>0</v>
      </c>
      <c r="R71" s="468"/>
      <c r="S71" s="408">
        <v>968</v>
      </c>
      <c r="T71" s="463">
        <f t="shared" si="34"/>
        <v>103.7513397642015</v>
      </c>
    </row>
    <row r="72" spans="1:20" ht="14.25" customHeight="1" x14ac:dyDescent="0.2">
      <c r="A72" s="458"/>
      <c r="B72" s="458"/>
      <c r="C72" s="459"/>
      <c r="D72" s="458"/>
      <c r="E72" s="350" t="s">
        <v>87</v>
      </c>
      <c r="F72" s="454">
        <f>SUM(F73:F76)</f>
        <v>227</v>
      </c>
      <c r="G72" s="449">
        <f>SUM(G73:G76)</f>
        <v>0</v>
      </c>
      <c r="H72" s="449">
        <f>SUM(H73:H76)</f>
        <v>227</v>
      </c>
      <c r="I72" s="449">
        <f>SUM(I74:I76)</f>
        <v>179.20665</v>
      </c>
      <c r="J72" s="455">
        <f t="shared" si="17"/>
        <v>78.945660792951543</v>
      </c>
      <c r="K72" s="449">
        <f>SUM(K73:K76)</f>
        <v>525.72961000000009</v>
      </c>
      <c r="L72" s="455">
        <f t="shared" si="28"/>
        <v>231.59894713656391</v>
      </c>
      <c r="M72" s="449">
        <f>SUM(M73:M76)</f>
        <v>1047.9470100000001</v>
      </c>
      <c r="N72" s="455">
        <f t="shared" si="33"/>
        <v>461.65066519823796</v>
      </c>
      <c r="O72" s="449">
        <f>SUM(O73:O76)</f>
        <v>1891.52504</v>
      </c>
      <c r="P72" s="455">
        <f t="shared" si="20"/>
        <v>833.2709427312775</v>
      </c>
      <c r="Q72" s="465">
        <f t="shared" si="31"/>
        <v>1664.52504</v>
      </c>
      <c r="R72" s="471"/>
      <c r="S72" s="410">
        <f>SUM(S73:S76)</f>
        <v>516</v>
      </c>
      <c r="T72" s="451">
        <f t="shared" si="34"/>
        <v>227.31277533039648</v>
      </c>
    </row>
    <row r="73" spans="1:20" customFormat="1" ht="14.25" customHeight="1" x14ac:dyDescent="0.2">
      <c r="A73" s="497"/>
      <c r="B73" s="349">
        <v>2141</v>
      </c>
      <c r="C73" s="459">
        <v>3522</v>
      </c>
      <c r="D73" s="497">
        <v>233</v>
      </c>
      <c r="E73" s="349" t="s">
        <v>350</v>
      </c>
      <c r="F73" s="498">
        <v>216</v>
      </c>
      <c r="G73" s="498"/>
      <c r="H73" s="498">
        <f>SUM(F73:G73)</f>
        <v>216</v>
      </c>
      <c r="I73" s="498"/>
      <c r="J73" s="499">
        <f t="shared" si="17"/>
        <v>0</v>
      </c>
      <c r="K73" s="498"/>
      <c r="L73" s="499"/>
      <c r="M73" s="498"/>
      <c r="N73" s="499"/>
      <c r="O73" s="345">
        <v>216.98770999999999</v>
      </c>
      <c r="P73" s="463">
        <f>O73/$H73*100</f>
        <v>100.45727314814815</v>
      </c>
      <c r="Q73" s="465">
        <f t="shared" si="31"/>
        <v>0.98770999999999276</v>
      </c>
      <c r="R73" s="468" t="s">
        <v>349</v>
      </c>
      <c r="S73" s="411">
        <v>216</v>
      </c>
      <c r="T73" s="500"/>
    </row>
    <row r="74" spans="1:20" customFormat="1" x14ac:dyDescent="0.2">
      <c r="A74" s="497"/>
      <c r="B74" s="349">
        <v>2141</v>
      </c>
      <c r="C74" s="459">
        <v>6310</v>
      </c>
      <c r="D74" s="349">
        <v>314</v>
      </c>
      <c r="E74" s="349" t="s">
        <v>236</v>
      </c>
      <c r="F74" s="498">
        <v>10</v>
      </c>
      <c r="G74" s="498"/>
      <c r="H74" s="498">
        <f>SUM(F74:G74)</f>
        <v>10</v>
      </c>
      <c r="I74" s="498">
        <f>179.10827+0.01458</f>
        <v>179.12285</v>
      </c>
      <c r="J74" s="499">
        <f t="shared" si="17"/>
        <v>1791.2285000000002</v>
      </c>
      <c r="K74" s="498">
        <f>524.187+0.03659</f>
        <v>524.22359000000006</v>
      </c>
      <c r="L74" s="499">
        <f t="shared" si="32"/>
        <v>5242.2359000000006</v>
      </c>
      <c r="M74" s="498">
        <v>1046.3770400000001</v>
      </c>
      <c r="N74" s="501">
        <f t="shared" si="33"/>
        <v>10463.770400000001</v>
      </c>
      <c r="O74" s="345">
        <v>1672.94146</v>
      </c>
      <c r="P74" s="463">
        <f>O74/$H74*100</f>
        <v>16729.4146</v>
      </c>
      <c r="Q74" s="465">
        <f t="shared" si="31"/>
        <v>1662.94146</v>
      </c>
      <c r="R74" s="468"/>
      <c r="S74" s="411">
        <v>300</v>
      </c>
      <c r="T74" s="500">
        <f t="shared" si="34"/>
        <v>3000</v>
      </c>
    </row>
    <row r="75" spans="1:20" x14ac:dyDescent="0.2">
      <c r="A75" s="458"/>
      <c r="B75" s="459">
        <v>2143</v>
      </c>
      <c r="C75" s="459"/>
      <c r="D75" s="459"/>
      <c r="E75" s="459" t="s">
        <v>241</v>
      </c>
      <c r="F75" s="461"/>
      <c r="G75" s="345"/>
      <c r="H75" s="345">
        <f>SUM(F75:G75)</f>
        <v>0</v>
      </c>
      <c r="I75" s="345">
        <v>8.3799999999999999E-2</v>
      </c>
      <c r="J75" s="499"/>
      <c r="K75" s="345">
        <v>0.13102</v>
      </c>
      <c r="L75" s="463"/>
      <c r="M75" s="345">
        <v>0.13167999999999999</v>
      </c>
      <c r="N75" s="463"/>
      <c r="O75" s="345">
        <f>0.08919+0.13168</f>
        <v>0.22087000000000001</v>
      </c>
      <c r="P75" s="463"/>
      <c r="Q75" s="465">
        <f t="shared" si="31"/>
        <v>0.22087000000000001</v>
      </c>
      <c r="R75" s="468"/>
      <c r="S75" s="408"/>
      <c r="T75" s="463"/>
    </row>
    <row r="76" spans="1:20" ht="13.5" customHeight="1" x14ac:dyDescent="0.2">
      <c r="A76" s="458"/>
      <c r="B76" s="459">
        <v>2141</v>
      </c>
      <c r="C76" s="459">
        <v>6310</v>
      </c>
      <c r="D76" s="459">
        <v>318</v>
      </c>
      <c r="E76" s="459" t="s">
        <v>365</v>
      </c>
      <c r="F76" s="461">
        <v>1</v>
      </c>
      <c r="G76" s="345"/>
      <c r="H76" s="345">
        <f>SUM(F76:G76)</f>
        <v>1</v>
      </c>
      <c r="I76" s="345"/>
      <c r="J76" s="463">
        <f t="shared" ref="J76:J90" si="35">I76/$H76*100</f>
        <v>0</v>
      </c>
      <c r="K76" s="345">
        <v>1.375</v>
      </c>
      <c r="L76" s="463">
        <f t="shared" si="28"/>
        <v>137.5</v>
      </c>
      <c r="M76" s="345">
        <f>0.06329+1.375</f>
        <v>1.4382900000000001</v>
      </c>
      <c r="N76" s="463">
        <f t="shared" si="29"/>
        <v>143.82900000000001</v>
      </c>
      <c r="O76" s="345">
        <v>1.375</v>
      </c>
      <c r="P76" s="463">
        <f t="shared" ref="P76:P82" si="36">O76/$H76*100</f>
        <v>137.5</v>
      </c>
      <c r="Q76" s="465">
        <f t="shared" si="31"/>
        <v>0.375</v>
      </c>
      <c r="R76" s="468" t="s">
        <v>432</v>
      </c>
      <c r="S76" s="408"/>
      <c r="T76" s="463">
        <f t="shared" si="34"/>
        <v>0</v>
      </c>
    </row>
    <row r="77" spans="1:20" x14ac:dyDescent="0.2">
      <c r="A77" s="448" t="s">
        <v>127</v>
      </c>
      <c r="B77" s="350"/>
      <c r="C77" s="350"/>
      <c r="D77" s="350"/>
      <c r="E77" s="350"/>
      <c r="F77" s="449">
        <f>SUM(F78:F85)</f>
        <v>4238</v>
      </c>
      <c r="G77" s="449">
        <f>SUM(G78:G85)</f>
        <v>0</v>
      </c>
      <c r="H77" s="449">
        <f>SUM(H78:H85)</f>
        <v>4238</v>
      </c>
      <c r="I77" s="449">
        <f>SUM(I78:I85)</f>
        <v>276.52159</v>
      </c>
      <c r="J77" s="455">
        <f t="shared" si="35"/>
        <v>6.5248133553562999</v>
      </c>
      <c r="K77" s="449">
        <f>SUM(K78:K85)</f>
        <v>552.29098999999997</v>
      </c>
      <c r="L77" s="455">
        <f t="shared" si="28"/>
        <v>13.031878008494571</v>
      </c>
      <c r="M77" s="449">
        <f>SUM(M78:M85)</f>
        <v>790.31216999999992</v>
      </c>
      <c r="N77" s="455">
        <f t="shared" si="29"/>
        <v>18.648234308636148</v>
      </c>
      <c r="O77" s="449">
        <f>SUM(O78:O85)</f>
        <v>1194.97183</v>
      </c>
      <c r="P77" s="455">
        <f t="shared" si="36"/>
        <v>28.1965981595092</v>
      </c>
      <c r="Q77" s="456">
        <f>SUM(Q78:Q85)</f>
        <v>-3043.02817</v>
      </c>
      <c r="R77" s="453"/>
      <c r="S77" s="410">
        <f>SUM(S78:S85)</f>
        <v>3028</v>
      </c>
      <c r="T77" s="451">
        <f t="shared" si="34"/>
        <v>71.448796602170844</v>
      </c>
    </row>
    <row r="78" spans="1:20" x14ac:dyDescent="0.2">
      <c r="A78" s="458"/>
      <c r="B78" s="459">
        <v>2212</v>
      </c>
      <c r="C78" s="459">
        <v>6171</v>
      </c>
      <c r="D78" s="459">
        <v>11</v>
      </c>
      <c r="E78" s="459" t="s">
        <v>131</v>
      </c>
      <c r="F78" s="461">
        <v>3</v>
      </c>
      <c r="G78" s="345"/>
      <c r="H78" s="345">
        <f t="shared" ref="H78:H85" si="37">SUM(F78:G78)</f>
        <v>3</v>
      </c>
      <c r="I78" s="345"/>
      <c r="J78" s="463">
        <f t="shared" si="35"/>
        <v>0</v>
      </c>
      <c r="K78" s="345">
        <v>1.7</v>
      </c>
      <c r="L78" s="463">
        <f t="shared" si="28"/>
        <v>56.666666666666664</v>
      </c>
      <c r="M78" s="345">
        <v>1.7</v>
      </c>
      <c r="N78" s="463">
        <f t="shared" si="29"/>
        <v>56.666666666666664</v>
      </c>
      <c r="O78" s="345">
        <v>2.2999999999999998</v>
      </c>
      <c r="P78" s="463">
        <f t="shared" si="36"/>
        <v>76.666666666666657</v>
      </c>
      <c r="Q78" s="465">
        <f t="shared" ref="Q78:Q85" si="38">O78-H78</f>
        <v>-0.70000000000000018</v>
      </c>
      <c r="R78" s="502"/>
      <c r="S78" s="408">
        <v>3</v>
      </c>
      <c r="T78" s="463">
        <f t="shared" si="34"/>
        <v>100</v>
      </c>
    </row>
    <row r="79" spans="1:20" x14ac:dyDescent="0.2">
      <c r="A79" s="503"/>
      <c r="B79" s="459">
        <v>2212</v>
      </c>
      <c r="C79" s="459">
        <v>6171</v>
      </c>
      <c r="D79" s="459" t="s">
        <v>361</v>
      </c>
      <c r="E79" s="459" t="s">
        <v>212</v>
      </c>
      <c r="F79" s="461">
        <f>60+5</f>
        <v>65</v>
      </c>
      <c r="G79" s="345"/>
      <c r="H79" s="345">
        <f t="shared" si="37"/>
        <v>65</v>
      </c>
      <c r="I79" s="345">
        <f>43.5+1+1.8</f>
        <v>46.3</v>
      </c>
      <c r="J79" s="463">
        <f t="shared" si="35"/>
        <v>71.230769230769226</v>
      </c>
      <c r="K79" s="345">
        <f>71.64+2.1+3.4</f>
        <v>77.14</v>
      </c>
      <c r="L79" s="463">
        <f t="shared" si="28"/>
        <v>118.67692307692307</v>
      </c>
      <c r="M79" s="345">
        <f>73.24+6.2+2.2+6.8</f>
        <v>88.44</v>
      </c>
      <c r="N79" s="463">
        <f t="shared" si="29"/>
        <v>136.06153846153845</v>
      </c>
      <c r="O79" s="345">
        <f>82.0463+6.7+2.4+9.9</f>
        <v>101.04630000000002</v>
      </c>
      <c r="P79" s="463">
        <f t="shared" si="36"/>
        <v>155.45584615384618</v>
      </c>
      <c r="Q79" s="465">
        <f t="shared" si="38"/>
        <v>36.046300000000016</v>
      </c>
      <c r="R79" s="468"/>
      <c r="S79" s="408">
        <f>65</f>
        <v>65</v>
      </c>
      <c r="T79" s="463">
        <f t="shared" si="34"/>
        <v>100</v>
      </c>
    </row>
    <row r="80" spans="1:20" x14ac:dyDescent="0.2">
      <c r="A80" s="458"/>
      <c r="B80" s="459">
        <v>2212</v>
      </c>
      <c r="C80" s="459">
        <v>2169</v>
      </c>
      <c r="D80" s="459">
        <v>15</v>
      </c>
      <c r="E80" s="459" t="s">
        <v>152</v>
      </c>
      <c r="F80" s="461">
        <v>50</v>
      </c>
      <c r="G80" s="345"/>
      <c r="H80" s="345">
        <f t="shared" si="37"/>
        <v>50</v>
      </c>
      <c r="I80" s="345">
        <v>18</v>
      </c>
      <c r="J80" s="463">
        <f t="shared" si="35"/>
        <v>36</v>
      </c>
      <c r="K80" s="345">
        <v>39</v>
      </c>
      <c r="L80" s="463">
        <f t="shared" si="28"/>
        <v>78</v>
      </c>
      <c r="M80" s="345">
        <v>42</v>
      </c>
      <c r="N80" s="463">
        <f t="shared" si="29"/>
        <v>84</v>
      </c>
      <c r="O80" s="345">
        <v>43</v>
      </c>
      <c r="P80" s="463">
        <f t="shared" si="36"/>
        <v>86</v>
      </c>
      <c r="Q80" s="465">
        <f t="shared" si="38"/>
        <v>-7</v>
      </c>
      <c r="R80" s="504"/>
      <c r="S80" s="408">
        <v>50</v>
      </c>
      <c r="T80" s="463">
        <f t="shared" si="34"/>
        <v>100</v>
      </c>
    </row>
    <row r="81" spans="1:20" x14ac:dyDescent="0.2">
      <c r="A81" s="458"/>
      <c r="B81" s="459">
        <v>2212</v>
      </c>
      <c r="C81" s="505" t="s">
        <v>169</v>
      </c>
      <c r="D81" s="459">
        <v>17</v>
      </c>
      <c r="E81" s="459" t="s">
        <v>130</v>
      </c>
      <c r="F81" s="461">
        <v>20</v>
      </c>
      <c r="G81" s="345"/>
      <c r="H81" s="345">
        <f t="shared" si="37"/>
        <v>20</v>
      </c>
      <c r="I81" s="345">
        <v>8</v>
      </c>
      <c r="J81" s="463">
        <f t="shared" si="35"/>
        <v>40</v>
      </c>
      <c r="K81" s="345">
        <v>10.5</v>
      </c>
      <c r="L81" s="463">
        <f t="shared" si="28"/>
        <v>52.5</v>
      </c>
      <c r="M81" s="345">
        <v>19.5</v>
      </c>
      <c r="N81" s="463">
        <f t="shared" si="29"/>
        <v>97.5</v>
      </c>
      <c r="O81" s="345">
        <v>25.5</v>
      </c>
      <c r="P81" s="463">
        <f t="shared" si="36"/>
        <v>127.49999999999999</v>
      </c>
      <c r="Q81" s="465">
        <f t="shared" si="38"/>
        <v>5.5</v>
      </c>
      <c r="R81" s="468"/>
      <c r="S81" s="408">
        <v>20</v>
      </c>
      <c r="T81" s="463">
        <f t="shared" si="34"/>
        <v>100</v>
      </c>
    </row>
    <row r="82" spans="1:20" ht="13.5" customHeight="1" x14ac:dyDescent="0.2">
      <c r="A82" s="458"/>
      <c r="B82" s="459">
        <v>2212</v>
      </c>
      <c r="C82" s="459">
        <v>6171</v>
      </c>
      <c r="D82" s="459" t="s">
        <v>342</v>
      </c>
      <c r="E82" s="459" t="s">
        <v>129</v>
      </c>
      <c r="F82" s="461">
        <v>1000</v>
      </c>
      <c r="G82" s="345"/>
      <c r="H82" s="345">
        <f t="shared" si="37"/>
        <v>1000</v>
      </c>
      <c r="I82" s="345">
        <f>18.5+147.70479</f>
        <v>166.20479</v>
      </c>
      <c r="J82" s="463">
        <f t="shared" si="35"/>
        <v>16.620479</v>
      </c>
      <c r="K82" s="345">
        <f>36.05+353.68399</f>
        <v>389.73399000000001</v>
      </c>
      <c r="L82" s="463">
        <f t="shared" si="28"/>
        <v>38.973399000000001</v>
      </c>
      <c r="M82" s="345">
        <f>33.8+539.15917+3.8+5.4-3.56+0.5</f>
        <v>579.09916999999996</v>
      </c>
      <c r="N82" s="463">
        <f t="shared" si="29"/>
        <v>57.909917</v>
      </c>
      <c r="O82" s="345">
        <f>21.35+751.37553+9.8</f>
        <v>782.52553</v>
      </c>
      <c r="P82" s="463">
        <f t="shared" si="36"/>
        <v>78.252553000000006</v>
      </c>
      <c r="Q82" s="465">
        <f t="shared" si="38"/>
        <v>-217.47447</v>
      </c>
      <c r="R82" s="468"/>
      <c r="S82" s="408">
        <v>1000</v>
      </c>
      <c r="T82" s="463">
        <f t="shared" si="34"/>
        <v>100</v>
      </c>
    </row>
    <row r="83" spans="1:20" x14ac:dyDescent="0.2">
      <c r="A83" s="483"/>
      <c r="B83" s="484">
        <v>2223</v>
      </c>
      <c r="C83" s="484">
        <v>2212</v>
      </c>
      <c r="D83" s="484">
        <v>36</v>
      </c>
      <c r="E83" s="484" t="s">
        <v>353</v>
      </c>
      <c r="F83" s="461">
        <v>3000</v>
      </c>
      <c r="G83" s="345"/>
      <c r="H83" s="345">
        <f t="shared" si="37"/>
        <v>3000</v>
      </c>
      <c r="I83" s="345"/>
      <c r="J83" s="463">
        <f t="shared" si="35"/>
        <v>0</v>
      </c>
      <c r="K83" s="345"/>
      <c r="L83" s="463">
        <f t="shared" si="28"/>
        <v>0</v>
      </c>
      <c r="M83" s="345">
        <v>0</v>
      </c>
      <c r="N83" s="463">
        <f t="shared" si="29"/>
        <v>0</v>
      </c>
      <c r="O83" s="345">
        <v>141.1</v>
      </c>
      <c r="P83" s="463"/>
      <c r="Q83" s="465">
        <f t="shared" si="38"/>
        <v>-2858.9</v>
      </c>
      <c r="R83" s="468"/>
      <c r="S83" s="408">
        <v>1800</v>
      </c>
      <c r="T83" s="463">
        <f t="shared" si="34"/>
        <v>60</v>
      </c>
    </row>
    <row r="84" spans="1:20" x14ac:dyDescent="0.2">
      <c r="A84" s="458"/>
      <c r="B84" s="459">
        <v>2212</v>
      </c>
      <c r="C84" s="459">
        <v>6171</v>
      </c>
      <c r="D84" s="459">
        <v>30.13</v>
      </c>
      <c r="E84" s="459" t="s">
        <v>258</v>
      </c>
      <c r="F84" s="461">
        <v>0</v>
      </c>
      <c r="G84" s="345"/>
      <c r="H84" s="345">
        <f t="shared" si="37"/>
        <v>0</v>
      </c>
      <c r="I84" s="345">
        <f>12.156+8.8198+17.041</f>
        <v>38.016800000000003</v>
      </c>
      <c r="J84" s="463"/>
      <c r="K84" s="345">
        <v>4.617</v>
      </c>
      <c r="L84" s="463"/>
      <c r="M84" s="345">
        <f>0.273</f>
        <v>0.27300000000000002</v>
      </c>
      <c r="N84" s="463"/>
      <c r="O84" s="345"/>
      <c r="P84" s="463"/>
      <c r="Q84" s="465">
        <f t="shared" si="38"/>
        <v>0</v>
      </c>
      <c r="R84" s="468"/>
      <c r="S84" s="408"/>
      <c r="T84" s="463"/>
    </row>
    <row r="85" spans="1:20" x14ac:dyDescent="0.2">
      <c r="A85" s="458"/>
      <c r="B85" s="459">
        <v>2212</v>
      </c>
      <c r="C85" s="459">
        <v>5311</v>
      </c>
      <c r="D85" s="459">
        <v>16</v>
      </c>
      <c r="E85" s="459" t="s">
        <v>44</v>
      </c>
      <c r="F85" s="461">
        <v>100</v>
      </c>
      <c r="G85" s="345"/>
      <c r="H85" s="345">
        <f t="shared" si="37"/>
        <v>100</v>
      </c>
      <c r="I85" s="345"/>
      <c r="J85" s="463">
        <f t="shared" si="35"/>
        <v>0</v>
      </c>
      <c r="K85" s="345">
        <v>29.6</v>
      </c>
      <c r="L85" s="463">
        <f t="shared" si="28"/>
        <v>29.600000000000005</v>
      </c>
      <c r="M85" s="345">
        <v>59.3</v>
      </c>
      <c r="N85" s="463">
        <f t="shared" si="29"/>
        <v>59.3</v>
      </c>
      <c r="O85" s="345">
        <v>99.5</v>
      </c>
      <c r="P85" s="463">
        <f>O85/$H85*100</f>
        <v>99.5</v>
      </c>
      <c r="Q85" s="465">
        <f t="shared" si="38"/>
        <v>-0.5</v>
      </c>
      <c r="R85" s="468"/>
      <c r="S85" s="408">
        <v>90</v>
      </c>
      <c r="T85" s="463">
        <f t="shared" si="34"/>
        <v>90</v>
      </c>
    </row>
    <row r="86" spans="1:20" x14ac:dyDescent="0.2">
      <c r="A86" s="448" t="s">
        <v>126</v>
      </c>
      <c r="B86" s="459"/>
      <c r="C86" s="459"/>
      <c r="D86" s="459"/>
      <c r="E86" s="459"/>
      <c r="F86" s="449">
        <f>SUM(F87:F96)</f>
        <v>50</v>
      </c>
      <c r="G86" s="449">
        <f>SUM(G87:G96)</f>
        <v>752.86469999999997</v>
      </c>
      <c r="H86" s="449">
        <f>SUM(H87:H96)</f>
        <v>802.86469999999997</v>
      </c>
      <c r="I86" s="449">
        <f>SUM(I87:I96)</f>
        <v>129.80000000000001</v>
      </c>
      <c r="J86" s="455">
        <f t="shared" si="35"/>
        <v>16.167107608542263</v>
      </c>
      <c r="K86" s="449">
        <f>SUM(K87:K96)</f>
        <v>220.25380000000001</v>
      </c>
      <c r="L86" s="455">
        <f t="shared" si="28"/>
        <v>27.433489104702204</v>
      </c>
      <c r="M86" s="449">
        <f>SUM(M87:M96)</f>
        <v>448.6705</v>
      </c>
      <c r="N86" s="455">
        <f t="shared" si="29"/>
        <v>55.883699955920349</v>
      </c>
      <c r="O86" s="449">
        <f>SUM(O87:O96)</f>
        <v>1343.1215799999998</v>
      </c>
      <c r="P86" s="455">
        <f>O86/$H86*100</f>
        <v>167.29114880751388</v>
      </c>
      <c r="Q86" s="456">
        <f>SUM(Q87:Q96)</f>
        <v>540.25687999999991</v>
      </c>
      <c r="R86" s="457"/>
      <c r="S86" s="407"/>
      <c r="T86" s="451">
        <f t="shared" si="34"/>
        <v>0</v>
      </c>
    </row>
    <row r="87" spans="1:20" x14ac:dyDescent="0.2">
      <c r="A87" s="458"/>
      <c r="B87" s="459">
        <v>2321</v>
      </c>
      <c r="C87" s="459">
        <v>2199</v>
      </c>
      <c r="D87" s="459"/>
      <c r="E87" s="459" t="s">
        <v>231</v>
      </c>
      <c r="F87" s="461">
        <v>0</v>
      </c>
      <c r="G87" s="345">
        <v>60</v>
      </c>
      <c r="H87" s="345">
        <f t="shared" ref="H87:H96" si="39">SUM(F87:G87)</f>
        <v>60</v>
      </c>
      <c r="I87" s="345"/>
      <c r="J87" s="463"/>
      <c r="K87" s="345"/>
      <c r="L87" s="463"/>
      <c r="M87" s="345">
        <f>100</f>
        <v>100</v>
      </c>
      <c r="N87" s="463"/>
      <c r="O87" s="345">
        <v>125</v>
      </c>
      <c r="P87" s="463"/>
      <c r="Q87" s="465">
        <f t="shared" ref="Q87:Q96" si="40">O87-H87</f>
        <v>65</v>
      </c>
      <c r="R87" s="468"/>
      <c r="S87" s="408"/>
      <c r="T87" s="463"/>
    </row>
    <row r="88" spans="1:20" x14ac:dyDescent="0.2">
      <c r="A88" s="458"/>
      <c r="B88" s="459">
        <v>2212</v>
      </c>
      <c r="C88" s="459">
        <v>3113</v>
      </c>
      <c r="D88" s="459">
        <v>300</v>
      </c>
      <c r="E88" s="459" t="s">
        <v>452</v>
      </c>
      <c r="F88" s="461">
        <v>0</v>
      </c>
      <c r="G88" s="345"/>
      <c r="H88" s="345">
        <f t="shared" ref="H88" si="41">SUM(F88:G88)</f>
        <v>0</v>
      </c>
      <c r="I88" s="345"/>
      <c r="J88" s="463"/>
      <c r="K88" s="345"/>
      <c r="L88" s="463"/>
      <c r="M88" s="345"/>
      <c r="N88" s="463"/>
      <c r="O88" s="345">
        <v>335.66807999999997</v>
      </c>
      <c r="P88" s="463"/>
      <c r="Q88" s="465">
        <f t="shared" si="40"/>
        <v>335.66807999999997</v>
      </c>
      <c r="R88" s="468"/>
      <c r="S88" s="408"/>
      <c r="T88" s="463"/>
    </row>
    <row r="89" spans="1:20" x14ac:dyDescent="0.2">
      <c r="A89" s="458"/>
      <c r="B89" s="459">
        <v>2222</v>
      </c>
      <c r="C89" s="459">
        <v>6402</v>
      </c>
      <c r="D89" s="459">
        <v>110</v>
      </c>
      <c r="E89" s="459" t="s">
        <v>461</v>
      </c>
      <c r="F89" s="461">
        <v>0</v>
      </c>
      <c r="G89" s="345"/>
      <c r="H89" s="345">
        <f t="shared" si="39"/>
        <v>0</v>
      </c>
      <c r="I89" s="345"/>
      <c r="J89" s="463"/>
      <c r="K89" s="345"/>
      <c r="L89" s="463"/>
      <c r="M89" s="345"/>
      <c r="N89" s="463"/>
      <c r="O89" s="345"/>
      <c r="P89" s="463"/>
      <c r="Q89" s="465">
        <f t="shared" si="40"/>
        <v>0</v>
      </c>
      <c r="R89" s="468"/>
      <c r="S89" s="408"/>
      <c r="T89" s="463"/>
    </row>
    <row r="90" spans="1:20" x14ac:dyDescent="0.2">
      <c r="A90" s="458"/>
      <c r="B90" s="459">
        <v>2324</v>
      </c>
      <c r="C90" s="459">
        <v>3613</v>
      </c>
      <c r="D90" s="459">
        <v>305</v>
      </c>
      <c r="E90" s="459" t="s">
        <v>282</v>
      </c>
      <c r="F90" s="461">
        <v>50</v>
      </c>
      <c r="G90" s="462"/>
      <c r="H90" s="345">
        <f t="shared" si="39"/>
        <v>50</v>
      </c>
      <c r="I90" s="345"/>
      <c r="J90" s="463">
        <f t="shared" si="35"/>
        <v>0</v>
      </c>
      <c r="K90" s="345"/>
      <c r="L90" s="463">
        <f t="shared" si="28"/>
        <v>0</v>
      </c>
      <c r="M90" s="345"/>
      <c r="N90" s="463">
        <f t="shared" si="29"/>
        <v>0</v>
      </c>
      <c r="O90" s="345"/>
      <c r="P90" s="463">
        <f>O90/$H90*100</f>
        <v>0</v>
      </c>
      <c r="Q90" s="465">
        <f t="shared" si="40"/>
        <v>-50</v>
      </c>
      <c r="R90" s="468"/>
      <c r="S90" s="408"/>
      <c r="T90" s="463"/>
    </row>
    <row r="91" spans="1:20" x14ac:dyDescent="0.2">
      <c r="A91" s="458"/>
      <c r="B91" s="459">
        <v>2324</v>
      </c>
      <c r="C91" s="459">
        <v>6171</v>
      </c>
      <c r="D91" s="459"/>
      <c r="E91" s="459" t="s">
        <v>401</v>
      </c>
      <c r="F91" s="345"/>
      <c r="G91" s="462"/>
      <c r="H91" s="345">
        <f t="shared" si="39"/>
        <v>0</v>
      </c>
      <c r="I91" s="345"/>
      <c r="J91" s="463"/>
      <c r="K91" s="345">
        <f>12.156+8.8198</f>
        <v>20.9758</v>
      </c>
      <c r="L91" s="463"/>
      <c r="M91" s="345">
        <f>12.156+8.8198</f>
        <v>20.9758</v>
      </c>
      <c r="N91" s="463"/>
      <c r="O91" s="345">
        <f>12.156+8.8198</f>
        <v>20.9758</v>
      </c>
      <c r="P91" s="463"/>
      <c r="Q91" s="465">
        <f t="shared" si="40"/>
        <v>20.9758</v>
      </c>
      <c r="R91" s="468"/>
      <c r="S91" s="408"/>
      <c r="T91" s="463"/>
    </row>
    <row r="92" spans="1:20" x14ac:dyDescent="0.2">
      <c r="A92" s="458"/>
      <c r="B92" s="459">
        <v>2229</v>
      </c>
      <c r="C92" s="459"/>
      <c r="D92" s="459">
        <v>2020</v>
      </c>
      <c r="E92" s="459" t="s">
        <v>399</v>
      </c>
      <c r="F92" s="345"/>
      <c r="G92" s="479"/>
      <c r="H92" s="345">
        <f t="shared" si="39"/>
        <v>0</v>
      </c>
      <c r="I92" s="345"/>
      <c r="J92" s="463"/>
      <c r="K92" s="345">
        <v>47.078000000000003</v>
      </c>
      <c r="L92" s="463"/>
      <c r="M92" s="345">
        <v>55.613</v>
      </c>
      <c r="N92" s="463"/>
      <c r="O92" s="345">
        <v>55.613</v>
      </c>
      <c r="P92" s="463"/>
      <c r="Q92" s="465">
        <f t="shared" si="40"/>
        <v>55.613</v>
      </c>
      <c r="R92" s="468"/>
      <c r="S92" s="408"/>
      <c r="T92" s="463"/>
    </row>
    <row r="93" spans="1:20" x14ac:dyDescent="0.2">
      <c r="A93" s="458"/>
      <c r="B93" s="459">
        <v>2229</v>
      </c>
      <c r="C93" s="459"/>
      <c r="D93" s="459">
        <v>105</v>
      </c>
      <c r="E93" s="459" t="s">
        <v>338</v>
      </c>
      <c r="F93" s="345"/>
      <c r="G93" s="479">
        <v>11.0817</v>
      </c>
      <c r="H93" s="345">
        <f t="shared" si="39"/>
        <v>11.0817</v>
      </c>
      <c r="I93" s="345">
        <f>97+14+2</f>
        <v>113</v>
      </c>
      <c r="J93" s="463"/>
      <c r="K93" s="345">
        <f>14+97+2</f>
        <v>113</v>
      </c>
      <c r="L93" s="463"/>
      <c r="M93" s="345">
        <f>14+97+2+11.0817</f>
        <v>124.0817</v>
      </c>
      <c r="N93" s="463"/>
      <c r="O93" s="345">
        <f>14+97+11.0817+2</f>
        <v>124.0817</v>
      </c>
      <c r="P93" s="463">
        <f t="shared" ref="P93" si="42">O93/$H93*100</f>
        <v>1119.6991436331971</v>
      </c>
      <c r="Q93" s="465">
        <f t="shared" si="40"/>
        <v>113</v>
      </c>
      <c r="R93" s="468"/>
      <c r="S93" s="408"/>
      <c r="T93" s="463"/>
    </row>
    <row r="94" spans="1:20" x14ac:dyDescent="0.2">
      <c r="A94" s="458"/>
      <c r="B94" s="459">
        <v>2324</v>
      </c>
      <c r="C94" s="459"/>
      <c r="D94" s="459">
        <v>702</v>
      </c>
      <c r="E94" s="459" t="s">
        <v>423</v>
      </c>
      <c r="F94" s="345"/>
      <c r="G94" s="345">
        <f>37.2+45</f>
        <v>82.2</v>
      </c>
      <c r="H94" s="345">
        <f t="shared" si="39"/>
        <v>82.2</v>
      </c>
      <c r="I94" s="345">
        <v>0</v>
      </c>
      <c r="J94" s="463"/>
      <c r="K94" s="345"/>
      <c r="L94" s="463"/>
      <c r="M94" s="345">
        <v>82.2</v>
      </c>
      <c r="N94" s="463"/>
      <c r="O94" s="345">
        <v>82.2</v>
      </c>
      <c r="P94" s="463">
        <f>O94/$H94*100</f>
        <v>100</v>
      </c>
      <c r="Q94" s="465">
        <f t="shared" si="40"/>
        <v>0</v>
      </c>
      <c r="R94" s="468"/>
      <c r="S94" s="408"/>
      <c r="T94" s="463"/>
    </row>
    <row r="95" spans="1:20" x14ac:dyDescent="0.2">
      <c r="A95" s="458"/>
      <c r="B95" s="459">
        <v>2324</v>
      </c>
      <c r="C95" s="459"/>
      <c r="D95" s="459">
        <v>109</v>
      </c>
      <c r="E95" s="459" t="s">
        <v>354</v>
      </c>
      <c r="F95" s="345"/>
      <c r="G95" s="506">
        <f>466.018+71.965</f>
        <v>537.98299999999995</v>
      </c>
      <c r="H95" s="345">
        <f t="shared" si="39"/>
        <v>537.98299999999995</v>
      </c>
      <c r="I95" s="345"/>
      <c r="J95" s="463"/>
      <c r="K95" s="345"/>
      <c r="L95" s="463"/>
      <c r="M95" s="345">
        <v>21</v>
      </c>
      <c r="N95" s="463"/>
      <c r="O95" s="345">
        <v>537.98299999999995</v>
      </c>
      <c r="P95" s="463">
        <f t="shared" ref="P95:P96" si="43">O95/$H95*100</f>
        <v>100</v>
      </c>
      <c r="Q95" s="465">
        <f t="shared" si="40"/>
        <v>0</v>
      </c>
      <c r="R95" s="468"/>
      <c r="S95" s="408"/>
      <c r="T95" s="463"/>
    </row>
    <row r="96" spans="1:20" x14ac:dyDescent="0.2">
      <c r="A96" s="458"/>
      <c r="B96" s="459">
        <v>2322</v>
      </c>
      <c r="C96" s="459"/>
      <c r="D96" s="459">
        <v>223</v>
      </c>
      <c r="E96" s="459" t="s">
        <v>332</v>
      </c>
      <c r="F96" s="345"/>
      <c r="G96" s="345">
        <v>61.6</v>
      </c>
      <c r="H96" s="345">
        <f t="shared" si="39"/>
        <v>61.6</v>
      </c>
      <c r="I96" s="345">
        <v>16.8</v>
      </c>
      <c r="J96" s="463"/>
      <c r="K96" s="345">
        <v>39.200000000000003</v>
      </c>
      <c r="L96" s="463"/>
      <c r="M96" s="345">
        <v>44.8</v>
      </c>
      <c r="N96" s="463"/>
      <c r="O96" s="345">
        <v>61.6</v>
      </c>
      <c r="P96" s="463">
        <f t="shared" si="43"/>
        <v>100</v>
      </c>
      <c r="Q96" s="465">
        <f t="shared" si="40"/>
        <v>0</v>
      </c>
      <c r="R96" s="468"/>
      <c r="S96" s="408"/>
      <c r="T96" s="463"/>
    </row>
    <row r="97" spans="1:20" x14ac:dyDescent="0.2">
      <c r="A97" s="448" t="s">
        <v>125</v>
      </c>
      <c r="B97" s="459"/>
      <c r="C97" s="459"/>
      <c r="D97" s="459"/>
      <c r="E97" s="459"/>
      <c r="F97" s="449">
        <f>SUM(F98:F98)</f>
        <v>0</v>
      </c>
      <c r="G97" s="449">
        <f>SUM(G98:G98)</f>
        <v>0</v>
      </c>
      <c r="H97" s="449">
        <f>SUM(H98:H98)</f>
        <v>0</v>
      </c>
      <c r="I97" s="449">
        <f>SUM(I98:I98)</f>
        <v>0</v>
      </c>
      <c r="J97" s="451"/>
      <c r="K97" s="449">
        <f>SUM(K98:K98)</f>
        <v>0</v>
      </c>
      <c r="L97" s="451"/>
      <c r="M97" s="449">
        <f>SUM(M98:M98)</f>
        <v>0</v>
      </c>
      <c r="N97" s="455"/>
      <c r="O97" s="449">
        <f>SUM(O98:O98)</f>
        <v>0</v>
      </c>
      <c r="P97" s="463"/>
      <c r="Q97" s="465">
        <f t="shared" ref="Q97" si="44">O97-H97</f>
        <v>0</v>
      </c>
      <c r="R97" s="472"/>
      <c r="S97" s="410"/>
      <c r="T97" s="463"/>
    </row>
    <row r="98" spans="1:20" ht="13.5" thickBot="1" x14ac:dyDescent="0.25">
      <c r="A98" s="458"/>
      <c r="B98" s="459"/>
      <c r="C98" s="459"/>
      <c r="D98" s="459"/>
      <c r="E98" s="507"/>
      <c r="F98" s="345"/>
      <c r="G98" s="345"/>
      <c r="H98" s="345"/>
      <c r="I98" s="345"/>
      <c r="J98" s="463"/>
      <c r="K98" s="345"/>
      <c r="L98" s="463"/>
      <c r="M98" s="345"/>
      <c r="N98" s="463"/>
      <c r="O98" s="345"/>
      <c r="P98" s="463"/>
      <c r="Q98" s="465"/>
      <c r="R98" s="508"/>
      <c r="S98" s="407"/>
      <c r="T98" s="451"/>
    </row>
    <row r="99" spans="1:20" ht="16.5" thickBot="1" x14ac:dyDescent="0.3">
      <c r="A99" s="473" t="s">
        <v>45</v>
      </c>
      <c r="B99" s="509"/>
      <c r="C99" s="509"/>
      <c r="D99" s="509"/>
      <c r="E99" s="509"/>
      <c r="F99" s="475">
        <f>SUM(F40+F61+F72+F77+F86+F97)</f>
        <v>31040</v>
      </c>
      <c r="G99" s="475">
        <f>SUM(G40+G61+G72+G77+G86+G97)</f>
        <v>1782.8647000000001</v>
      </c>
      <c r="H99" s="475">
        <f>SUM(H40+H61+H72+H77+H86+H97)</f>
        <v>32822.864699999998</v>
      </c>
      <c r="I99" s="475">
        <f>SUM(I40+I61+I72+I77+I86+I97)</f>
        <v>7779.3105299999997</v>
      </c>
      <c r="J99" s="476">
        <f>I99/$H99*100</f>
        <v>23.700888393205972</v>
      </c>
      <c r="K99" s="475">
        <f>SUM(K40+K61+K72+K77+K86+K97)</f>
        <v>14282.142669999999</v>
      </c>
      <c r="L99" s="476">
        <f>K99/$H99*100</f>
        <v>43.512785372448008</v>
      </c>
      <c r="M99" s="510">
        <f>SUM(M40+M61+M72+M77+M86+M97)</f>
        <v>26125.295080000004</v>
      </c>
      <c r="N99" s="476">
        <f>M99/$H99*100</f>
        <v>79.594804776439901</v>
      </c>
      <c r="O99" s="475">
        <f>SUM(O40+O61+O72+O77+O86+O97)</f>
        <v>36179.030879999998</v>
      </c>
      <c r="P99" s="476">
        <f>O99/$H99*100</f>
        <v>110.22508611199923</v>
      </c>
      <c r="Q99" s="477">
        <f>SUM(Q40+Q61+Q72+Q77+Q86+Q97)</f>
        <v>3356.1661799999988</v>
      </c>
      <c r="R99" s="511"/>
      <c r="S99" s="409">
        <f>SUM(S40+S61+S72+S77+S86+S97)</f>
        <v>34101</v>
      </c>
      <c r="T99" s="476">
        <f>S99/$F99*100</f>
        <v>109.86146907216494</v>
      </c>
    </row>
    <row r="100" spans="1:20" x14ac:dyDescent="0.2">
      <c r="A100" s="448" t="s">
        <v>141</v>
      </c>
      <c r="B100" s="350"/>
      <c r="C100" s="350"/>
      <c r="D100" s="350"/>
      <c r="E100" s="448" t="s">
        <v>46</v>
      </c>
      <c r="F100" s="449"/>
      <c r="G100" s="449"/>
      <c r="H100" s="449"/>
      <c r="I100" s="449"/>
      <c r="J100" s="451"/>
      <c r="K100" s="449"/>
      <c r="L100" s="451"/>
      <c r="M100" s="449"/>
      <c r="N100" s="451"/>
      <c r="O100" s="449"/>
      <c r="P100" s="451"/>
      <c r="Q100" s="512"/>
      <c r="R100" s="453"/>
      <c r="S100" s="407"/>
      <c r="T100" s="451"/>
    </row>
    <row r="101" spans="1:20" x14ac:dyDescent="0.2">
      <c r="A101" s="448" t="s">
        <v>47</v>
      </c>
      <c r="B101" s="350"/>
      <c r="C101" s="350"/>
      <c r="D101" s="350"/>
      <c r="E101" s="350"/>
      <c r="F101" s="449"/>
      <c r="G101" s="449"/>
      <c r="H101" s="449"/>
      <c r="I101" s="449"/>
      <c r="J101" s="451"/>
      <c r="K101" s="449"/>
      <c r="L101" s="451"/>
      <c r="M101" s="449"/>
      <c r="N101" s="451"/>
      <c r="O101" s="449"/>
      <c r="P101" s="451"/>
      <c r="Q101" s="469"/>
      <c r="R101" s="453"/>
      <c r="S101" s="407"/>
      <c r="T101" s="451"/>
    </row>
    <row r="102" spans="1:20" x14ac:dyDescent="0.2">
      <c r="A102" s="497"/>
      <c r="B102" s="349">
        <v>3201</v>
      </c>
      <c r="C102" s="459">
        <v>3522</v>
      </c>
      <c r="D102" s="349">
        <v>233</v>
      </c>
      <c r="E102" s="349" t="s">
        <v>351</v>
      </c>
      <c r="F102" s="498">
        <v>12337</v>
      </c>
      <c r="G102" s="498"/>
      <c r="H102" s="345">
        <f>SUM(F102:G102)</f>
        <v>12337</v>
      </c>
      <c r="I102" s="498"/>
      <c r="J102" s="463">
        <f t="shared" ref="J102:J103" si="45">I102/$H102*100</f>
        <v>0</v>
      </c>
      <c r="K102" s="498"/>
      <c r="L102" s="499"/>
      <c r="M102" s="498"/>
      <c r="N102" s="499"/>
      <c r="O102" s="345">
        <v>12337.763999999999</v>
      </c>
      <c r="P102" s="499"/>
      <c r="Q102" s="465">
        <f t="shared" ref="Q102:Q105" si="46">O102-H102</f>
        <v>0.7639999999992142</v>
      </c>
      <c r="R102" s="468" t="s">
        <v>349</v>
      </c>
      <c r="S102" s="411">
        <v>12337</v>
      </c>
      <c r="T102" s="500"/>
    </row>
    <row r="103" spans="1:20" customFormat="1" x14ac:dyDescent="0.2">
      <c r="A103" s="458"/>
      <c r="B103" s="459">
        <v>3111</v>
      </c>
      <c r="C103" s="459">
        <v>2121</v>
      </c>
      <c r="D103" s="459">
        <v>20</v>
      </c>
      <c r="E103" s="459" t="s">
        <v>165</v>
      </c>
      <c r="F103" s="461">
        <v>100</v>
      </c>
      <c r="G103" s="345"/>
      <c r="H103" s="345">
        <f>SUM(F103:G103)</f>
        <v>100</v>
      </c>
      <c r="I103" s="345"/>
      <c r="J103" s="463">
        <f t="shared" si="45"/>
        <v>0</v>
      </c>
      <c r="K103" s="345"/>
      <c r="L103" s="463">
        <f>K103/$H103*100</f>
        <v>0</v>
      </c>
      <c r="M103" s="345">
        <v>14.4</v>
      </c>
      <c r="N103" s="513">
        <f>M103/$H103*100</f>
        <v>14.400000000000002</v>
      </c>
      <c r="O103" s="345">
        <v>14.4</v>
      </c>
      <c r="P103" s="463">
        <f>O103/$H103*100</f>
        <v>14.400000000000002</v>
      </c>
      <c r="Q103" s="465">
        <f t="shared" si="46"/>
        <v>-85.6</v>
      </c>
      <c r="R103" s="468"/>
      <c r="S103" s="408">
        <v>50</v>
      </c>
      <c r="T103" s="463">
        <f>S103/$F103*100</f>
        <v>50</v>
      </c>
    </row>
    <row r="104" spans="1:20" x14ac:dyDescent="0.2">
      <c r="A104" s="458"/>
      <c r="B104" s="459">
        <v>3112</v>
      </c>
      <c r="C104" s="459">
        <v>3612</v>
      </c>
      <c r="D104" s="459">
        <v>45</v>
      </c>
      <c r="E104" s="459" t="s">
        <v>166</v>
      </c>
      <c r="F104" s="461">
        <f>1500+2080+2080</f>
        <v>5660</v>
      </c>
      <c r="G104" s="462"/>
      <c r="H104" s="345">
        <f>SUM(F104:G104)</f>
        <v>5660</v>
      </c>
      <c r="I104" s="345">
        <v>8200</v>
      </c>
      <c r="J104" s="463">
        <f>I104/$H104*100</f>
        <v>144.87632508833923</v>
      </c>
      <c r="K104" s="345">
        <v>8200</v>
      </c>
      <c r="L104" s="463">
        <f>K104/$H104*100</f>
        <v>144.87632508833923</v>
      </c>
      <c r="M104" s="345">
        <v>8200</v>
      </c>
      <c r="N104" s="513">
        <f>M104/$H104*100</f>
        <v>144.87632508833923</v>
      </c>
      <c r="O104" s="345">
        <v>8200</v>
      </c>
      <c r="P104" s="463">
        <f>O104/$H104*100</f>
        <v>144.87632508833923</v>
      </c>
      <c r="Q104" s="465">
        <f t="shared" si="46"/>
        <v>2540</v>
      </c>
      <c r="R104" s="468"/>
      <c r="S104" s="408">
        <v>6000</v>
      </c>
      <c r="T104" s="463">
        <f>S104/$F104*100</f>
        <v>106.00706713780919</v>
      </c>
    </row>
    <row r="105" spans="1:20" ht="13.5" thickBot="1" x14ac:dyDescent="0.25">
      <c r="A105" s="458"/>
      <c r="B105" s="459">
        <v>3121</v>
      </c>
      <c r="C105" s="459">
        <v>2199</v>
      </c>
      <c r="D105" s="459">
        <v>912</v>
      </c>
      <c r="E105" s="459" t="s">
        <v>408</v>
      </c>
      <c r="F105" s="461">
        <v>0</v>
      </c>
      <c r="G105" s="345">
        <v>150</v>
      </c>
      <c r="H105" s="345">
        <f>SUM(F105:G105)</f>
        <v>150</v>
      </c>
      <c r="I105" s="345"/>
      <c r="J105" s="463"/>
      <c r="K105" s="345"/>
      <c r="L105" s="463">
        <f>K105/$H105*100</f>
        <v>0</v>
      </c>
      <c r="M105" s="345">
        <v>150</v>
      </c>
      <c r="N105" s="463">
        <f>M105/$H105*100</f>
        <v>100</v>
      </c>
      <c r="O105" s="345">
        <v>150</v>
      </c>
      <c r="P105" s="463">
        <f>O105/$H105*100</f>
        <v>100</v>
      </c>
      <c r="Q105" s="465">
        <f t="shared" si="46"/>
        <v>0</v>
      </c>
      <c r="R105" s="468" t="s">
        <v>438</v>
      </c>
      <c r="S105" s="408"/>
      <c r="T105" s="463"/>
    </row>
    <row r="106" spans="1:20" ht="16.5" thickBot="1" x14ac:dyDescent="0.3">
      <c r="A106" s="473" t="s">
        <v>48</v>
      </c>
      <c r="B106" s="509"/>
      <c r="C106" s="509"/>
      <c r="D106" s="509"/>
      <c r="E106" s="509"/>
      <c r="F106" s="475">
        <f>SUM(F102:F105)</f>
        <v>18097</v>
      </c>
      <c r="G106" s="475">
        <f>SUM(G102:G105)</f>
        <v>150</v>
      </c>
      <c r="H106" s="475">
        <f>SUM(H102:H105)</f>
        <v>18247</v>
      </c>
      <c r="I106" s="475">
        <f>SUM(I103:I105)</f>
        <v>8200</v>
      </c>
      <c r="J106" s="476">
        <f>I106/$H106*100</f>
        <v>44.93889406477777</v>
      </c>
      <c r="K106" s="475">
        <f>SUM(K102:K105)</f>
        <v>8200</v>
      </c>
      <c r="L106" s="476">
        <f>K106/$H106*100</f>
        <v>44.93889406477777</v>
      </c>
      <c r="M106" s="475">
        <f>SUM(M102:M105)</f>
        <v>8364.4</v>
      </c>
      <c r="N106" s="476">
        <f>M106/$H106*100</f>
        <v>45.839864087247214</v>
      </c>
      <c r="O106" s="475">
        <f>SUM(O102:O105)</f>
        <v>20702.163999999997</v>
      </c>
      <c r="P106" s="476">
        <f>O106/$H106*100</f>
        <v>113.45516523264097</v>
      </c>
      <c r="Q106" s="478">
        <f>SUM(Q102:Q105)</f>
        <v>2455.1639999999993</v>
      </c>
      <c r="R106" s="514"/>
      <c r="S106" s="409">
        <f>SUM(S102:S105)</f>
        <v>18387</v>
      </c>
      <c r="T106" s="476">
        <f>S106/$F106*100</f>
        <v>101.60247554843345</v>
      </c>
    </row>
    <row r="107" spans="1:20" ht="15.75" customHeight="1" x14ac:dyDescent="0.2">
      <c r="A107" s="448" t="s">
        <v>49</v>
      </c>
      <c r="B107" s="459"/>
      <c r="C107" s="459"/>
      <c r="D107" s="459"/>
      <c r="E107" s="448" t="s">
        <v>50</v>
      </c>
      <c r="F107" s="345"/>
      <c r="G107" s="345"/>
      <c r="H107" s="449"/>
      <c r="I107" s="345"/>
      <c r="J107" s="463"/>
      <c r="K107" s="345"/>
      <c r="L107" s="463"/>
      <c r="M107" s="345"/>
      <c r="N107" s="463"/>
      <c r="O107" s="345"/>
      <c r="P107" s="463"/>
      <c r="Q107" s="466"/>
      <c r="R107" s="468"/>
      <c r="S107" s="408"/>
      <c r="T107" s="463"/>
    </row>
    <row r="108" spans="1:20" x14ac:dyDescent="0.2">
      <c r="A108" s="448" t="s">
        <v>51</v>
      </c>
      <c r="B108" s="350"/>
      <c r="C108" s="350" t="s">
        <v>256</v>
      </c>
      <c r="D108" s="350" t="s">
        <v>133</v>
      </c>
      <c r="E108" s="350"/>
      <c r="F108" s="449">
        <f>SUM(F109:F140)</f>
        <v>33800</v>
      </c>
      <c r="G108" s="449">
        <f>SUM(G109:G140)</f>
        <v>14330.399890000001</v>
      </c>
      <c r="H108" s="449">
        <f>SUM(H109:H140)</f>
        <v>48130.399889999993</v>
      </c>
      <c r="I108" s="449">
        <f>SUM(I109:I140)</f>
        <v>8173.459499999999</v>
      </c>
      <c r="J108" s="451">
        <f>I108/$H108*100</f>
        <v>16.981906484633615</v>
      </c>
      <c r="K108" s="449">
        <f>SUM(K109:K140)</f>
        <v>28998.472689999999</v>
      </c>
      <c r="L108" s="451">
        <f>K108/$H108*100</f>
        <v>60.24980626854294</v>
      </c>
      <c r="M108" s="449">
        <f>SUM(M109:M140)</f>
        <v>37173.577390000006</v>
      </c>
      <c r="N108" s="451">
        <f>M108/$H108*100</f>
        <v>77.235130967036753</v>
      </c>
      <c r="O108" s="449">
        <f>SUM(O109:O143)</f>
        <v>47978.161390000001</v>
      </c>
      <c r="P108" s="451">
        <f t="shared" ref="P108:P139" si="47">O108/$H108*100</f>
        <v>99.683695750818757</v>
      </c>
      <c r="Q108" s="456">
        <f>SUM(Q109:Q140)</f>
        <v>-152.23849999999999</v>
      </c>
      <c r="R108" s="515"/>
      <c r="S108" s="407">
        <f>SUM(S109:S140)</f>
        <v>34820</v>
      </c>
      <c r="T108" s="451">
        <f>S108/$F108*100</f>
        <v>103.01775147928993</v>
      </c>
    </row>
    <row r="109" spans="1:20" x14ac:dyDescent="0.2">
      <c r="A109" s="458"/>
      <c r="B109" s="459">
        <v>4112</v>
      </c>
      <c r="C109" s="459"/>
      <c r="D109" s="459"/>
      <c r="E109" s="459" t="s">
        <v>167</v>
      </c>
      <c r="F109" s="461">
        <v>23162.400000000001</v>
      </c>
      <c r="G109" s="345"/>
      <c r="H109" s="345">
        <f t="shared" ref="H109:H140" si="48">SUM(F109:G109)</f>
        <v>23162.400000000001</v>
      </c>
      <c r="I109" s="345">
        <v>5790.6</v>
      </c>
      <c r="J109" s="463">
        <f>I109/$H109*100</f>
        <v>25</v>
      </c>
      <c r="K109" s="345">
        <v>11581.2</v>
      </c>
      <c r="L109" s="463">
        <f>K109/$H109*100</f>
        <v>50</v>
      </c>
      <c r="M109" s="345">
        <v>17371.8</v>
      </c>
      <c r="N109" s="463">
        <f>M109/$H109*100</f>
        <v>74.999999999999986</v>
      </c>
      <c r="O109" s="345">
        <v>23162.400000000001</v>
      </c>
      <c r="P109" s="463">
        <f t="shared" si="47"/>
        <v>100</v>
      </c>
      <c r="Q109" s="465">
        <f t="shared" ref="Q109:Q140" si="49">O109-H109</f>
        <v>0</v>
      </c>
      <c r="R109" s="486"/>
      <c r="S109" s="408">
        <v>24533.9</v>
      </c>
      <c r="T109" s="516">
        <f>S109/(H109)</f>
        <v>1.0592123441439574</v>
      </c>
    </row>
    <row r="110" spans="1:20" x14ac:dyDescent="0.2">
      <c r="A110" s="458"/>
      <c r="B110" s="459">
        <v>4111</v>
      </c>
      <c r="C110" s="459"/>
      <c r="D110" s="459">
        <v>98043</v>
      </c>
      <c r="E110" s="507" t="s">
        <v>334</v>
      </c>
      <c r="F110" s="461">
        <v>0</v>
      </c>
      <c r="G110" s="345">
        <f>356.42169+13.3982</f>
        <v>369.81988999999999</v>
      </c>
      <c r="H110" s="345">
        <f t="shared" si="48"/>
        <v>369.81988999999999</v>
      </c>
      <c r="I110" s="345"/>
      <c r="J110" s="463"/>
      <c r="K110" s="345">
        <v>356.42169000000001</v>
      </c>
      <c r="L110" s="463">
        <f t="shared" ref="L110:L139" si="50">K110/$H110*100</f>
        <v>96.377101296525723</v>
      </c>
      <c r="M110" s="345">
        <v>369.81988999999999</v>
      </c>
      <c r="N110" s="463">
        <f t="shared" ref="N110:N139" si="51">M110/$H110*100</f>
        <v>100</v>
      </c>
      <c r="O110" s="345">
        <v>369.81988999999999</v>
      </c>
      <c r="P110" s="463">
        <f t="shared" si="47"/>
        <v>100</v>
      </c>
      <c r="Q110" s="465">
        <f t="shared" si="49"/>
        <v>0</v>
      </c>
      <c r="R110" s="486"/>
      <c r="S110" s="408"/>
      <c r="T110" s="463"/>
    </row>
    <row r="111" spans="1:20" x14ac:dyDescent="0.2">
      <c r="A111" s="458"/>
      <c r="B111" s="459">
        <v>4111</v>
      </c>
      <c r="C111" s="459">
        <v>110</v>
      </c>
      <c r="D111" s="459"/>
      <c r="E111" s="507" t="s">
        <v>440</v>
      </c>
      <c r="F111" s="461">
        <v>0</v>
      </c>
      <c r="G111" s="345">
        <f>180+62</f>
        <v>242</v>
      </c>
      <c r="H111" s="345">
        <f t="shared" si="48"/>
        <v>242</v>
      </c>
      <c r="I111" s="345"/>
      <c r="J111" s="463"/>
      <c r="K111" s="345"/>
      <c r="L111" s="463"/>
      <c r="M111" s="345">
        <v>180</v>
      </c>
      <c r="N111" s="463">
        <f t="shared" si="51"/>
        <v>74.380165289256198</v>
      </c>
      <c r="O111" s="345">
        <f>62+180</f>
        <v>242</v>
      </c>
      <c r="P111" s="463">
        <f t="shared" si="47"/>
        <v>100</v>
      </c>
      <c r="Q111" s="465">
        <f t="shared" si="49"/>
        <v>0</v>
      </c>
      <c r="R111" s="486"/>
      <c r="S111" s="408">
        <v>208</v>
      </c>
      <c r="T111" s="463"/>
    </row>
    <row r="112" spans="1:20" x14ac:dyDescent="0.2">
      <c r="A112" s="458"/>
      <c r="B112" s="459">
        <v>4116</v>
      </c>
      <c r="C112" s="459">
        <v>109</v>
      </c>
      <c r="D112" s="459"/>
      <c r="E112" s="507" t="s">
        <v>549</v>
      </c>
      <c r="F112" s="461">
        <v>0</v>
      </c>
      <c r="G112" s="345">
        <f>415.213+144.174+0.256</f>
        <v>559.64300000000003</v>
      </c>
      <c r="H112" s="345">
        <f t="shared" si="48"/>
        <v>559.64300000000003</v>
      </c>
      <c r="I112" s="345"/>
      <c r="J112" s="463"/>
      <c r="K112" s="345"/>
      <c r="L112" s="463"/>
      <c r="M112" s="345"/>
      <c r="N112" s="463"/>
      <c r="O112" s="345">
        <v>559.64300000000003</v>
      </c>
      <c r="P112" s="463">
        <f t="shared" si="47"/>
        <v>100</v>
      </c>
      <c r="Q112" s="465">
        <f t="shared" si="49"/>
        <v>0</v>
      </c>
      <c r="R112" s="486"/>
      <c r="S112" s="408"/>
      <c r="T112" s="463"/>
    </row>
    <row r="113" spans="1:20" x14ac:dyDescent="0.2">
      <c r="A113" s="458"/>
      <c r="B113" s="484">
        <v>4116</v>
      </c>
      <c r="C113" s="484">
        <v>314</v>
      </c>
      <c r="D113" s="517" t="s">
        <v>382</v>
      </c>
      <c r="E113" s="518" t="s">
        <v>265</v>
      </c>
      <c r="F113" s="461">
        <v>3800</v>
      </c>
      <c r="G113" s="345">
        <v>-62</v>
      </c>
      <c r="H113" s="345">
        <f t="shared" si="48"/>
        <v>3738</v>
      </c>
      <c r="I113" s="345"/>
      <c r="J113" s="463">
        <f t="shared" ref="J113:J139" si="52">I113/$H113*100</f>
        <v>0</v>
      </c>
      <c r="K113" s="345">
        <v>3738</v>
      </c>
      <c r="L113" s="463">
        <f t="shared" si="50"/>
        <v>100</v>
      </c>
      <c r="M113" s="345">
        <v>3738</v>
      </c>
      <c r="N113" s="463">
        <f t="shared" si="51"/>
        <v>100</v>
      </c>
      <c r="O113" s="345">
        <v>3738</v>
      </c>
      <c r="P113" s="463">
        <f t="shared" si="47"/>
        <v>100</v>
      </c>
      <c r="Q113" s="465">
        <f t="shared" si="49"/>
        <v>0</v>
      </c>
      <c r="R113" s="519"/>
      <c r="S113" s="408">
        <v>3300</v>
      </c>
      <c r="T113" s="463">
        <f>S113/$F113*100</f>
        <v>86.842105263157904</v>
      </c>
    </row>
    <row r="114" spans="1:20" x14ac:dyDescent="0.2">
      <c r="A114" s="458"/>
      <c r="B114" s="459">
        <v>4116</v>
      </c>
      <c r="C114" s="459">
        <v>314</v>
      </c>
      <c r="D114" s="520" t="s">
        <v>278</v>
      </c>
      <c r="E114" s="507" t="s">
        <v>247</v>
      </c>
      <c r="F114" s="461">
        <v>603</v>
      </c>
      <c r="G114" s="479">
        <v>3.0059999999999998</v>
      </c>
      <c r="H114" s="345">
        <f t="shared" si="48"/>
        <v>606.00599999999997</v>
      </c>
      <c r="I114" s="345"/>
      <c r="J114" s="463">
        <f t="shared" si="52"/>
        <v>0</v>
      </c>
      <c r="K114" s="345">
        <v>606.00599999999997</v>
      </c>
      <c r="L114" s="463">
        <f t="shared" si="50"/>
        <v>100</v>
      </c>
      <c r="M114" s="345">
        <v>606.00599999999997</v>
      </c>
      <c r="N114" s="463">
        <f t="shared" si="51"/>
        <v>100</v>
      </c>
      <c r="O114" s="345">
        <v>606.00599999999997</v>
      </c>
      <c r="P114" s="463">
        <f t="shared" si="47"/>
        <v>100</v>
      </c>
      <c r="Q114" s="465">
        <f t="shared" si="49"/>
        <v>0</v>
      </c>
      <c r="R114" s="486"/>
      <c r="S114" s="408">
        <v>606</v>
      </c>
      <c r="T114" s="463">
        <f>S114/$F114*100</f>
        <v>100.49751243781095</v>
      </c>
    </row>
    <row r="115" spans="1:20" x14ac:dyDescent="0.2">
      <c r="A115" s="458"/>
      <c r="B115" s="459">
        <v>4116</v>
      </c>
      <c r="C115" s="459">
        <v>15479</v>
      </c>
      <c r="D115" s="459"/>
      <c r="E115" s="507" t="s">
        <v>297</v>
      </c>
      <c r="F115" s="461">
        <v>294</v>
      </c>
      <c r="G115" s="462"/>
      <c r="H115" s="345">
        <f t="shared" si="48"/>
        <v>294</v>
      </c>
      <c r="I115" s="345"/>
      <c r="J115" s="463">
        <f t="shared" si="52"/>
        <v>0</v>
      </c>
      <c r="K115" s="345">
        <v>269.41050000000001</v>
      </c>
      <c r="L115" s="463">
        <f t="shared" si="50"/>
        <v>91.636224489795921</v>
      </c>
      <c r="M115" s="345">
        <f>28.359+241.0515</f>
        <v>269.41050000000001</v>
      </c>
      <c r="N115" s="463">
        <f t="shared" si="51"/>
        <v>91.636224489795921</v>
      </c>
      <c r="O115" s="345">
        <v>269.41050000000001</v>
      </c>
      <c r="P115" s="463">
        <f t="shared" si="47"/>
        <v>91.636224489795921</v>
      </c>
      <c r="Q115" s="465">
        <f t="shared" si="49"/>
        <v>-24.589499999999987</v>
      </c>
      <c r="R115" s="486" t="s">
        <v>431</v>
      </c>
      <c r="S115" s="408"/>
      <c r="T115" s="463"/>
    </row>
    <row r="116" spans="1:20" x14ac:dyDescent="0.2">
      <c r="A116" s="458"/>
      <c r="B116" s="459">
        <v>4116</v>
      </c>
      <c r="C116" s="459">
        <v>103.102</v>
      </c>
      <c r="D116" s="459"/>
      <c r="E116" s="507" t="s">
        <v>266</v>
      </c>
      <c r="F116" s="461">
        <v>900</v>
      </c>
      <c r="G116" s="479">
        <v>270</v>
      </c>
      <c r="H116" s="345">
        <f t="shared" si="48"/>
        <v>1170</v>
      </c>
      <c r="I116" s="345"/>
      <c r="J116" s="463">
        <f t="shared" si="52"/>
        <v>0</v>
      </c>
      <c r="K116" s="345"/>
      <c r="L116" s="463">
        <f t="shared" si="50"/>
        <v>0</v>
      </c>
      <c r="M116" s="345"/>
      <c r="N116" s="463">
        <f t="shared" si="51"/>
        <v>0</v>
      </c>
      <c r="O116" s="345">
        <v>1170</v>
      </c>
      <c r="P116" s="463">
        <f t="shared" si="47"/>
        <v>100</v>
      </c>
      <c r="Q116" s="465">
        <f t="shared" si="49"/>
        <v>0</v>
      </c>
      <c r="R116" s="486"/>
      <c r="S116" s="408">
        <v>700</v>
      </c>
      <c r="T116" s="463">
        <f>S116/$F116*100</f>
        <v>77.777777777777786</v>
      </c>
    </row>
    <row r="117" spans="1:20" x14ac:dyDescent="0.2">
      <c r="A117" s="458"/>
      <c r="B117" s="459">
        <v>4116</v>
      </c>
      <c r="C117" s="459">
        <v>201</v>
      </c>
      <c r="D117" s="459"/>
      <c r="E117" s="507" t="s">
        <v>336</v>
      </c>
      <c r="F117" s="461"/>
      <c r="G117" s="479">
        <f>195.557+34.98</f>
        <v>230.53699999999998</v>
      </c>
      <c r="H117" s="345">
        <f t="shared" si="48"/>
        <v>230.53699999999998</v>
      </c>
      <c r="I117" s="345"/>
      <c r="J117" s="463"/>
      <c r="K117" s="345"/>
      <c r="L117" s="463">
        <f t="shared" si="50"/>
        <v>0</v>
      </c>
      <c r="M117" s="345">
        <v>195.55699999999999</v>
      </c>
      <c r="N117" s="463">
        <f t="shared" si="51"/>
        <v>84.82673063326061</v>
      </c>
      <c r="O117" s="345">
        <v>230.53700000000001</v>
      </c>
      <c r="P117" s="463">
        <f t="shared" si="47"/>
        <v>100.00000000000003</v>
      </c>
      <c r="Q117" s="465">
        <f t="shared" si="49"/>
        <v>0</v>
      </c>
      <c r="R117" s="486"/>
      <c r="S117" s="408"/>
      <c r="T117" s="463"/>
    </row>
    <row r="118" spans="1:20" x14ac:dyDescent="0.2">
      <c r="A118" s="458"/>
      <c r="B118" s="459">
        <v>4116</v>
      </c>
      <c r="C118" s="459">
        <v>229</v>
      </c>
      <c r="D118" s="459"/>
      <c r="E118" s="507" t="s">
        <v>418</v>
      </c>
      <c r="F118" s="461"/>
      <c r="G118" s="479">
        <v>98.01</v>
      </c>
      <c r="H118" s="345">
        <f t="shared" si="48"/>
        <v>98.01</v>
      </c>
      <c r="I118" s="345"/>
      <c r="J118" s="463"/>
      <c r="K118" s="345"/>
      <c r="L118" s="463"/>
      <c r="M118" s="345"/>
      <c r="N118" s="463">
        <f t="shared" si="51"/>
        <v>0</v>
      </c>
      <c r="O118" s="345"/>
      <c r="P118" s="463">
        <f t="shared" si="47"/>
        <v>0</v>
      </c>
      <c r="Q118" s="465">
        <f t="shared" si="49"/>
        <v>-98.01</v>
      </c>
      <c r="R118" s="486"/>
      <c r="S118" s="408">
        <v>98</v>
      </c>
      <c r="T118" s="463"/>
    </row>
    <row r="119" spans="1:20" x14ac:dyDescent="0.2">
      <c r="A119" s="458"/>
      <c r="B119" s="459">
        <v>4116</v>
      </c>
      <c r="C119" s="459">
        <v>250</v>
      </c>
      <c r="D119" s="459"/>
      <c r="E119" s="507" t="s">
        <v>430</v>
      </c>
      <c r="F119" s="461"/>
      <c r="G119" s="345"/>
      <c r="H119" s="345">
        <f t="shared" si="48"/>
        <v>0</v>
      </c>
      <c r="I119" s="345"/>
      <c r="J119" s="463"/>
      <c r="K119" s="345"/>
      <c r="L119" s="463"/>
      <c r="M119" s="345"/>
      <c r="N119" s="463"/>
      <c r="O119" s="345"/>
      <c r="P119" s="463"/>
      <c r="Q119" s="465">
        <f t="shared" si="49"/>
        <v>0</v>
      </c>
      <c r="R119" s="486"/>
      <c r="S119" s="408"/>
      <c r="T119" s="463"/>
    </row>
    <row r="120" spans="1:20" x14ac:dyDescent="0.2">
      <c r="A120" s="458"/>
      <c r="B120" s="459">
        <v>4116</v>
      </c>
      <c r="C120" s="459">
        <v>301</v>
      </c>
      <c r="D120" s="459" t="s">
        <v>426</v>
      </c>
      <c r="E120" s="507" t="s">
        <v>427</v>
      </c>
      <c r="F120" s="461"/>
      <c r="G120" s="345">
        <v>943.88599999999997</v>
      </c>
      <c r="H120" s="345">
        <f t="shared" si="48"/>
        <v>943.88599999999997</v>
      </c>
      <c r="I120" s="345"/>
      <c r="J120" s="463"/>
      <c r="K120" s="345"/>
      <c r="L120" s="463"/>
      <c r="M120" s="345"/>
      <c r="N120" s="463"/>
      <c r="O120" s="345">
        <v>943.88599999999997</v>
      </c>
      <c r="P120" s="463">
        <f t="shared" si="47"/>
        <v>100</v>
      </c>
      <c r="Q120" s="465">
        <f t="shared" si="49"/>
        <v>0</v>
      </c>
      <c r="R120" s="486"/>
      <c r="S120" s="408"/>
      <c r="T120" s="463"/>
    </row>
    <row r="121" spans="1:20" x14ac:dyDescent="0.2">
      <c r="A121" s="458"/>
      <c r="B121" s="459">
        <v>4116</v>
      </c>
      <c r="C121" s="459">
        <v>304</v>
      </c>
      <c r="D121" s="459"/>
      <c r="E121" s="507" t="s">
        <v>419</v>
      </c>
      <c r="F121" s="461"/>
      <c r="G121" s="345">
        <f>630-255</f>
        <v>375</v>
      </c>
      <c r="H121" s="345">
        <f t="shared" si="48"/>
        <v>375</v>
      </c>
      <c r="I121" s="345"/>
      <c r="J121" s="463"/>
      <c r="K121" s="345"/>
      <c r="L121" s="463"/>
      <c r="M121" s="345">
        <v>630</v>
      </c>
      <c r="N121" s="463">
        <f t="shared" si="51"/>
        <v>168</v>
      </c>
      <c r="O121" s="345">
        <v>375</v>
      </c>
      <c r="P121" s="463">
        <f t="shared" si="47"/>
        <v>100</v>
      </c>
      <c r="Q121" s="465">
        <f t="shared" si="49"/>
        <v>0</v>
      </c>
      <c r="R121" s="486"/>
      <c r="S121" s="408"/>
      <c r="T121" s="463"/>
    </row>
    <row r="122" spans="1:20" x14ac:dyDescent="0.2">
      <c r="A122" s="458"/>
      <c r="B122" s="459">
        <v>4116</v>
      </c>
      <c r="C122" s="459">
        <v>305</v>
      </c>
      <c r="D122" s="459"/>
      <c r="E122" s="507" t="s">
        <v>448</v>
      </c>
      <c r="F122" s="461"/>
      <c r="G122" s="345">
        <v>135.52000000000001</v>
      </c>
      <c r="H122" s="345">
        <f t="shared" si="48"/>
        <v>135.52000000000001</v>
      </c>
      <c r="I122" s="345"/>
      <c r="J122" s="463"/>
      <c r="K122" s="345"/>
      <c r="L122" s="463"/>
      <c r="M122" s="345"/>
      <c r="N122" s="463"/>
      <c r="O122" s="345">
        <v>135.52000000000001</v>
      </c>
      <c r="P122" s="463">
        <f t="shared" si="47"/>
        <v>100</v>
      </c>
      <c r="Q122" s="465">
        <f t="shared" si="49"/>
        <v>0</v>
      </c>
      <c r="R122" s="486"/>
      <c r="S122" s="408"/>
      <c r="T122" s="463"/>
    </row>
    <row r="123" spans="1:20" x14ac:dyDescent="0.2">
      <c r="A123" s="458"/>
      <c r="B123" s="459">
        <v>4116</v>
      </c>
      <c r="C123" s="459">
        <v>223</v>
      </c>
      <c r="D123" s="459">
        <v>14004</v>
      </c>
      <c r="E123" s="507" t="s">
        <v>333</v>
      </c>
      <c r="F123" s="461"/>
      <c r="G123" s="345">
        <f>150+47.73</f>
        <v>197.73</v>
      </c>
      <c r="H123" s="345">
        <f t="shared" si="48"/>
        <v>197.73</v>
      </c>
      <c r="I123" s="345"/>
      <c r="J123" s="463"/>
      <c r="K123" s="345"/>
      <c r="L123" s="463"/>
      <c r="M123" s="345">
        <v>150</v>
      </c>
      <c r="N123" s="463">
        <f t="shared" si="51"/>
        <v>75.86102260658474</v>
      </c>
      <c r="O123" s="345">
        <v>197.73</v>
      </c>
      <c r="P123" s="463">
        <f t="shared" si="47"/>
        <v>100</v>
      </c>
      <c r="Q123" s="465">
        <f t="shared" si="49"/>
        <v>0</v>
      </c>
      <c r="R123" s="486"/>
      <c r="S123" s="408"/>
      <c r="T123" s="463"/>
    </row>
    <row r="124" spans="1:20" x14ac:dyDescent="0.2">
      <c r="A124" s="458"/>
      <c r="B124" s="459">
        <v>4121</v>
      </c>
      <c r="C124" s="459" t="s">
        <v>235</v>
      </c>
      <c r="D124" s="459"/>
      <c r="E124" s="507" t="s">
        <v>221</v>
      </c>
      <c r="F124" s="461">
        <v>599.6</v>
      </c>
      <c r="G124" s="345"/>
      <c r="H124" s="345">
        <f t="shared" si="48"/>
        <v>599.6</v>
      </c>
      <c r="I124" s="345">
        <f>22.5+235</f>
        <v>257.5</v>
      </c>
      <c r="J124" s="463">
        <f t="shared" si="52"/>
        <v>42.945296864576385</v>
      </c>
      <c r="K124" s="345">
        <f>22.5+235</f>
        <v>257.5</v>
      </c>
      <c r="L124" s="463">
        <f t="shared" si="50"/>
        <v>42.945296864576385</v>
      </c>
      <c r="M124" s="345">
        <f>36+490</f>
        <v>526</v>
      </c>
      <c r="N124" s="463">
        <f t="shared" si="51"/>
        <v>87.725150100066713</v>
      </c>
      <c r="O124" s="345">
        <f>36+490</f>
        <v>526</v>
      </c>
      <c r="P124" s="463">
        <f t="shared" si="47"/>
        <v>87.725150100066713</v>
      </c>
      <c r="Q124" s="465">
        <f t="shared" si="49"/>
        <v>-73.600000000000023</v>
      </c>
      <c r="R124" s="486"/>
      <c r="S124" s="408">
        <v>600.1</v>
      </c>
      <c r="T124" s="463">
        <f>S124/$F124*100</f>
        <v>100.08338892595063</v>
      </c>
    </row>
    <row r="125" spans="1:20" x14ac:dyDescent="0.2">
      <c r="A125" s="458"/>
      <c r="B125" s="459">
        <v>4121</v>
      </c>
      <c r="C125" s="459">
        <v>321</v>
      </c>
      <c r="D125" s="459"/>
      <c r="E125" s="507" t="s">
        <v>170</v>
      </c>
      <c r="F125" s="461">
        <v>125</v>
      </c>
      <c r="G125" s="345"/>
      <c r="H125" s="345">
        <f t="shared" si="48"/>
        <v>125</v>
      </c>
      <c r="I125" s="345"/>
      <c r="J125" s="463">
        <f t="shared" si="52"/>
        <v>0</v>
      </c>
      <c r="K125" s="345">
        <v>10.38</v>
      </c>
      <c r="L125" s="463">
        <f t="shared" si="50"/>
        <v>8.3040000000000003</v>
      </c>
      <c r="M125" s="345">
        <v>31.004999999999999</v>
      </c>
      <c r="N125" s="463">
        <f t="shared" si="51"/>
        <v>24.803999999999998</v>
      </c>
      <c r="O125" s="345">
        <v>77.89</v>
      </c>
      <c r="P125" s="463">
        <f t="shared" si="47"/>
        <v>62.311999999999998</v>
      </c>
      <c r="Q125" s="465">
        <f t="shared" si="49"/>
        <v>-47.11</v>
      </c>
      <c r="R125" s="486" t="s">
        <v>0</v>
      </c>
      <c r="S125" s="408">
        <f>60+60</f>
        <v>120</v>
      </c>
      <c r="T125" s="463">
        <f>S125/$F125*100</f>
        <v>96</v>
      </c>
    </row>
    <row r="126" spans="1:20" x14ac:dyDescent="0.2">
      <c r="A126" s="458"/>
      <c r="B126" s="459">
        <v>4121</v>
      </c>
      <c r="C126" s="459">
        <v>225</v>
      </c>
      <c r="D126" s="459"/>
      <c r="E126" s="507" t="s">
        <v>293</v>
      </c>
      <c r="F126" s="461">
        <v>661</v>
      </c>
      <c r="G126" s="345"/>
      <c r="H126" s="345">
        <f t="shared" si="48"/>
        <v>661</v>
      </c>
      <c r="I126" s="345">
        <v>390.20600000000002</v>
      </c>
      <c r="J126" s="463">
        <f t="shared" si="52"/>
        <v>59.032677760968234</v>
      </c>
      <c r="K126" s="345">
        <v>677.53599999999994</v>
      </c>
      <c r="L126" s="463">
        <f t="shared" si="50"/>
        <v>102.5016641452345</v>
      </c>
      <c r="M126" s="345">
        <v>677.53599999999994</v>
      </c>
      <c r="N126" s="463">
        <f t="shared" si="51"/>
        <v>102.5016641452345</v>
      </c>
      <c r="O126" s="345">
        <v>661.29200000000003</v>
      </c>
      <c r="P126" s="463">
        <f t="shared" si="47"/>
        <v>100.04417549167928</v>
      </c>
      <c r="Q126" s="465">
        <f t="shared" si="49"/>
        <v>0.29200000000003001</v>
      </c>
      <c r="R126" s="486" t="s">
        <v>323</v>
      </c>
      <c r="S126" s="408">
        <v>654</v>
      </c>
      <c r="T126" s="463">
        <f>S126/$F126*100</f>
        <v>98.940998487140703</v>
      </c>
    </row>
    <row r="127" spans="1:20" x14ac:dyDescent="0.2">
      <c r="A127" s="458"/>
      <c r="B127" s="459">
        <v>4121</v>
      </c>
      <c r="C127" s="459">
        <v>227</v>
      </c>
      <c r="D127" s="459"/>
      <c r="E127" s="507" t="s">
        <v>294</v>
      </c>
      <c r="F127" s="461">
        <v>455</v>
      </c>
      <c r="G127" s="345"/>
      <c r="H127" s="345">
        <f t="shared" si="48"/>
        <v>455</v>
      </c>
      <c r="I127" s="345">
        <v>91.802000000000007</v>
      </c>
      <c r="J127" s="463">
        <f t="shared" si="52"/>
        <v>20.176263736263738</v>
      </c>
      <c r="K127" s="345">
        <v>438.75599999999997</v>
      </c>
      <c r="L127" s="463">
        <f t="shared" si="50"/>
        <v>96.42989010989011</v>
      </c>
      <c r="M127" s="345">
        <v>438.75599999999997</v>
      </c>
      <c r="N127" s="463">
        <f t="shared" si="51"/>
        <v>96.42989010989011</v>
      </c>
      <c r="O127" s="345">
        <v>455</v>
      </c>
      <c r="P127" s="463">
        <f t="shared" si="47"/>
        <v>100</v>
      </c>
      <c r="Q127" s="465">
        <f t="shared" si="49"/>
        <v>0</v>
      </c>
      <c r="R127" s="486"/>
      <c r="S127" s="408">
        <v>500</v>
      </c>
      <c r="T127" s="463">
        <f>S127/$F127*100</f>
        <v>109.8901098901099</v>
      </c>
    </row>
    <row r="128" spans="1:20" x14ac:dyDescent="0.2">
      <c r="A128" s="458"/>
      <c r="B128" s="459">
        <v>4122</v>
      </c>
      <c r="C128" s="459">
        <v>312</v>
      </c>
      <c r="D128" s="459"/>
      <c r="E128" s="507" t="s">
        <v>449</v>
      </c>
      <c r="F128" s="461"/>
      <c r="G128" s="345">
        <v>10</v>
      </c>
      <c r="H128" s="345">
        <f t="shared" si="48"/>
        <v>10</v>
      </c>
      <c r="I128" s="345"/>
      <c r="J128" s="463"/>
      <c r="K128" s="345"/>
      <c r="L128" s="463"/>
      <c r="M128" s="345"/>
      <c r="N128" s="463"/>
      <c r="O128" s="345">
        <v>10</v>
      </c>
      <c r="P128" s="463">
        <f t="shared" si="47"/>
        <v>100</v>
      </c>
      <c r="Q128" s="465">
        <f t="shared" si="49"/>
        <v>0</v>
      </c>
      <c r="R128" s="486"/>
      <c r="S128" s="408"/>
      <c r="T128" s="463"/>
    </row>
    <row r="129" spans="1:20" x14ac:dyDescent="0.2">
      <c r="A129" s="458"/>
      <c r="B129" s="459">
        <v>4122</v>
      </c>
      <c r="C129" s="459">
        <v>103</v>
      </c>
      <c r="D129" s="459">
        <v>34054</v>
      </c>
      <c r="E129" s="507" t="s">
        <v>420</v>
      </c>
      <c r="F129" s="461"/>
      <c r="G129" s="345">
        <f>1000-300</f>
        <v>700</v>
      </c>
      <c r="H129" s="345">
        <f t="shared" si="48"/>
        <v>700</v>
      </c>
      <c r="I129" s="345"/>
      <c r="J129" s="463"/>
      <c r="K129" s="345"/>
      <c r="L129" s="463"/>
      <c r="M129" s="345">
        <v>700</v>
      </c>
      <c r="N129" s="463">
        <f t="shared" si="51"/>
        <v>100</v>
      </c>
      <c r="O129" s="345">
        <v>700</v>
      </c>
      <c r="P129" s="463">
        <f t="shared" si="47"/>
        <v>100</v>
      </c>
      <c r="Q129" s="465">
        <f t="shared" si="49"/>
        <v>0</v>
      </c>
      <c r="R129" s="486"/>
      <c r="S129" s="408">
        <v>300</v>
      </c>
      <c r="T129" s="463"/>
    </row>
    <row r="130" spans="1:20" x14ac:dyDescent="0.2">
      <c r="A130" s="458"/>
      <c r="B130" s="459">
        <v>4122</v>
      </c>
      <c r="C130" s="459">
        <v>103</v>
      </c>
      <c r="D130" s="459"/>
      <c r="E130" s="507" t="s">
        <v>421</v>
      </c>
      <c r="F130" s="461"/>
      <c r="G130" s="345">
        <v>50</v>
      </c>
      <c r="H130" s="345">
        <f t="shared" si="48"/>
        <v>50</v>
      </c>
      <c r="I130" s="345"/>
      <c r="J130" s="463"/>
      <c r="K130" s="345"/>
      <c r="L130" s="463"/>
      <c r="M130" s="345">
        <v>50</v>
      </c>
      <c r="N130" s="463"/>
      <c r="O130" s="345">
        <v>50</v>
      </c>
      <c r="P130" s="463">
        <f t="shared" si="47"/>
        <v>100</v>
      </c>
      <c r="Q130" s="465">
        <f t="shared" si="49"/>
        <v>0</v>
      </c>
      <c r="R130" s="486"/>
      <c r="S130" s="408"/>
      <c r="T130" s="463"/>
    </row>
    <row r="131" spans="1:20" x14ac:dyDescent="0.2">
      <c r="A131" s="458"/>
      <c r="B131" s="459">
        <v>4122</v>
      </c>
      <c r="C131" s="459">
        <v>223</v>
      </c>
      <c r="D131" s="459"/>
      <c r="E131" s="507" t="s">
        <v>341</v>
      </c>
      <c r="F131" s="461"/>
      <c r="G131" s="345">
        <v>47.9</v>
      </c>
      <c r="H131" s="345">
        <f t="shared" si="48"/>
        <v>47.9</v>
      </c>
      <c r="I131" s="345"/>
      <c r="J131" s="463"/>
      <c r="K131" s="345"/>
      <c r="L131" s="463"/>
      <c r="M131" s="345">
        <v>47.9</v>
      </c>
      <c r="N131" s="463">
        <f t="shared" si="51"/>
        <v>100</v>
      </c>
      <c r="O131" s="345">
        <v>47.9</v>
      </c>
      <c r="P131" s="463">
        <f t="shared" si="47"/>
        <v>100</v>
      </c>
      <c r="Q131" s="465">
        <f t="shared" si="49"/>
        <v>0</v>
      </c>
      <c r="R131" s="486"/>
      <c r="S131" s="408"/>
      <c r="T131" s="463"/>
    </row>
    <row r="132" spans="1:20" x14ac:dyDescent="0.2">
      <c r="A132" s="458"/>
      <c r="B132" s="459">
        <v>4122</v>
      </c>
      <c r="C132" s="459">
        <v>230</v>
      </c>
      <c r="D132" s="459"/>
      <c r="E132" s="507" t="s">
        <v>322</v>
      </c>
      <c r="F132" s="461"/>
      <c r="G132" s="345">
        <v>189.33500000000001</v>
      </c>
      <c r="H132" s="345">
        <f t="shared" si="48"/>
        <v>189.33500000000001</v>
      </c>
      <c r="I132" s="345"/>
      <c r="J132" s="463"/>
      <c r="K132" s="345"/>
      <c r="L132" s="463"/>
      <c r="M132" s="345"/>
      <c r="N132" s="463"/>
      <c r="O132" s="345">
        <v>189.33500000000001</v>
      </c>
      <c r="P132" s="463">
        <f t="shared" si="47"/>
        <v>100</v>
      </c>
      <c r="Q132" s="465">
        <f t="shared" si="49"/>
        <v>0</v>
      </c>
      <c r="R132" s="486"/>
      <c r="S132" s="408"/>
      <c r="T132" s="463"/>
    </row>
    <row r="133" spans="1:20" x14ac:dyDescent="0.2">
      <c r="A133" s="458"/>
      <c r="B133" s="459">
        <v>4122</v>
      </c>
      <c r="C133" s="459">
        <v>240</v>
      </c>
      <c r="D133" s="459"/>
      <c r="E133" s="507" t="s">
        <v>450</v>
      </c>
      <c r="F133" s="461"/>
      <c r="G133" s="345">
        <v>10</v>
      </c>
      <c r="H133" s="345">
        <f t="shared" si="48"/>
        <v>10</v>
      </c>
      <c r="I133" s="345"/>
      <c r="J133" s="463"/>
      <c r="K133" s="345"/>
      <c r="L133" s="463"/>
      <c r="M133" s="345"/>
      <c r="N133" s="463"/>
      <c r="O133" s="345">
        <v>10</v>
      </c>
      <c r="P133" s="463">
        <f t="shared" si="47"/>
        <v>100</v>
      </c>
      <c r="Q133" s="465">
        <f t="shared" si="49"/>
        <v>0</v>
      </c>
      <c r="R133" s="486"/>
      <c r="S133" s="408"/>
      <c r="T133" s="463"/>
    </row>
    <row r="134" spans="1:20" x14ac:dyDescent="0.2">
      <c r="A134" s="458"/>
      <c r="B134" s="459">
        <v>4122</v>
      </c>
      <c r="C134" s="459">
        <v>253</v>
      </c>
      <c r="D134" s="459"/>
      <c r="E134" s="507" t="s">
        <v>417</v>
      </c>
      <c r="F134" s="461"/>
      <c r="G134" s="345">
        <v>120</v>
      </c>
      <c r="H134" s="345">
        <f t="shared" si="48"/>
        <v>120</v>
      </c>
      <c r="I134" s="345"/>
      <c r="J134" s="463"/>
      <c r="K134" s="345"/>
      <c r="L134" s="463"/>
      <c r="M134" s="345">
        <v>90</v>
      </c>
      <c r="N134" s="463"/>
      <c r="O134" s="345">
        <v>120</v>
      </c>
      <c r="P134" s="463">
        <f t="shared" si="47"/>
        <v>100</v>
      </c>
      <c r="Q134" s="465">
        <f t="shared" si="49"/>
        <v>0</v>
      </c>
      <c r="R134" s="486"/>
      <c r="S134" s="408"/>
      <c r="T134" s="463"/>
    </row>
    <row r="135" spans="1:20" x14ac:dyDescent="0.2">
      <c r="A135" s="458"/>
      <c r="B135" s="459">
        <v>4122</v>
      </c>
      <c r="C135" s="459">
        <v>249</v>
      </c>
      <c r="D135" s="459"/>
      <c r="E135" s="507" t="s">
        <v>358</v>
      </c>
      <c r="F135" s="461"/>
      <c r="G135" s="345">
        <v>63</v>
      </c>
      <c r="H135" s="345">
        <f t="shared" si="48"/>
        <v>63</v>
      </c>
      <c r="I135" s="345"/>
      <c r="J135" s="463"/>
      <c r="K135" s="345"/>
      <c r="L135" s="463"/>
      <c r="M135" s="345">
        <v>63</v>
      </c>
      <c r="N135" s="463"/>
      <c r="O135" s="345">
        <v>63</v>
      </c>
      <c r="P135" s="463">
        <f t="shared" si="47"/>
        <v>100</v>
      </c>
      <c r="Q135" s="465">
        <f t="shared" si="49"/>
        <v>0</v>
      </c>
      <c r="R135" s="486"/>
      <c r="S135" s="408"/>
      <c r="T135" s="463"/>
    </row>
    <row r="136" spans="1:20" x14ac:dyDescent="0.2">
      <c r="A136" s="458"/>
      <c r="B136" s="459">
        <v>4122</v>
      </c>
      <c r="C136" s="459">
        <v>301</v>
      </c>
      <c r="D136" s="460" t="s">
        <v>405</v>
      </c>
      <c r="E136" s="507" t="s">
        <v>400</v>
      </c>
      <c r="F136" s="461"/>
      <c r="G136" s="345">
        <f>24.4755-24.4755</f>
        <v>0</v>
      </c>
      <c r="H136" s="345">
        <f t="shared" si="48"/>
        <v>0</v>
      </c>
      <c r="I136" s="345">
        <v>24.4755</v>
      </c>
      <c r="J136" s="463"/>
      <c r="K136" s="345">
        <f>3.67132+20.80418</f>
        <v>24.4755</v>
      </c>
      <c r="L136" s="463"/>
      <c r="M136" s="345"/>
      <c r="N136" s="463"/>
      <c r="O136" s="345"/>
      <c r="P136" s="463"/>
      <c r="Q136" s="465">
        <f t="shared" si="49"/>
        <v>0</v>
      </c>
      <c r="R136" s="486"/>
      <c r="S136" s="408"/>
      <c r="T136" s="463"/>
    </row>
    <row r="137" spans="1:20" x14ac:dyDescent="0.2">
      <c r="A137" s="458"/>
      <c r="B137" s="459">
        <v>4122</v>
      </c>
      <c r="C137" s="459">
        <v>301</v>
      </c>
      <c r="D137" s="460"/>
      <c r="E137" s="507" t="s">
        <v>424</v>
      </c>
      <c r="F137" s="461"/>
      <c r="G137" s="345">
        <v>39</v>
      </c>
      <c r="H137" s="345">
        <f t="shared" si="48"/>
        <v>39</v>
      </c>
      <c r="I137" s="345"/>
      <c r="J137" s="463"/>
      <c r="K137" s="345">
        <v>39</v>
      </c>
      <c r="L137" s="463"/>
      <c r="M137" s="345">
        <v>39</v>
      </c>
      <c r="N137" s="463"/>
      <c r="O137" s="345">
        <v>39</v>
      </c>
      <c r="P137" s="463">
        <f t="shared" si="47"/>
        <v>100</v>
      </c>
      <c r="Q137" s="465">
        <f t="shared" si="49"/>
        <v>0</v>
      </c>
      <c r="R137" s="486"/>
      <c r="S137" s="408"/>
      <c r="T137" s="463"/>
    </row>
    <row r="138" spans="1:20" x14ac:dyDescent="0.2">
      <c r="A138" s="458"/>
      <c r="B138" s="459">
        <v>4122</v>
      </c>
      <c r="C138" s="459">
        <v>307</v>
      </c>
      <c r="D138" s="459"/>
      <c r="E138" s="507" t="s">
        <v>313</v>
      </c>
      <c r="F138" s="461"/>
      <c r="G138" s="345">
        <f>883.607+3184.712+3582.894+1347.155+31.85</f>
        <v>9030.2180000000008</v>
      </c>
      <c r="H138" s="345">
        <f t="shared" si="48"/>
        <v>9030.2180000000008</v>
      </c>
      <c r="I138" s="345">
        <v>883.60699999999997</v>
      </c>
      <c r="J138" s="463"/>
      <c r="K138" s="345">
        <v>7651.2129999999997</v>
      </c>
      <c r="L138" s="463">
        <f t="shared" si="50"/>
        <v>84.728995468326445</v>
      </c>
      <c r="M138" s="345">
        <f>3184.712+4466.501</f>
        <v>7651.2129999999997</v>
      </c>
      <c r="N138" s="463">
        <f t="shared" si="51"/>
        <v>84.728995468326445</v>
      </c>
      <c r="O138" s="345">
        <v>9030.2180000000008</v>
      </c>
      <c r="P138" s="463">
        <f t="shared" si="47"/>
        <v>100</v>
      </c>
      <c r="Q138" s="465">
        <f t="shared" si="49"/>
        <v>0</v>
      </c>
      <c r="R138" s="486"/>
      <c r="S138" s="408"/>
      <c r="T138" s="463"/>
    </row>
    <row r="139" spans="1:20" x14ac:dyDescent="0.2">
      <c r="A139" s="458"/>
      <c r="B139" s="459">
        <v>4122</v>
      </c>
      <c r="C139" s="459">
        <v>227</v>
      </c>
      <c r="D139" s="459">
        <v>13305</v>
      </c>
      <c r="E139" s="459" t="s">
        <v>257</v>
      </c>
      <c r="F139" s="461">
        <v>3200</v>
      </c>
      <c r="G139" s="345">
        <f>57.795+650</f>
        <v>707.79499999999996</v>
      </c>
      <c r="H139" s="345">
        <f t="shared" si="48"/>
        <v>3907.7950000000001</v>
      </c>
      <c r="I139" s="345">
        <v>644.49</v>
      </c>
      <c r="J139" s="463">
        <f t="shared" si="52"/>
        <v>16.49242091767864</v>
      </c>
      <c r="K139" s="345">
        <v>3257.7950000000001</v>
      </c>
      <c r="L139" s="463">
        <f t="shared" si="50"/>
        <v>83.366578850732949</v>
      </c>
      <c r="M139" s="345">
        <v>3257.7950000000001</v>
      </c>
      <c r="N139" s="463">
        <f t="shared" si="51"/>
        <v>83.366578850732949</v>
      </c>
      <c r="O139" s="345">
        <v>3907.7950000000001</v>
      </c>
      <c r="P139" s="463">
        <f t="shared" si="47"/>
        <v>100</v>
      </c>
      <c r="Q139" s="465">
        <f t="shared" si="49"/>
        <v>0</v>
      </c>
      <c r="R139" s="486"/>
      <c r="S139" s="408">
        <v>3200</v>
      </c>
      <c r="T139" s="463">
        <f>S139/$F139*100</f>
        <v>100</v>
      </c>
    </row>
    <row r="140" spans="1:20" x14ac:dyDescent="0.2">
      <c r="A140" s="458"/>
      <c r="B140" s="459">
        <v>4132</v>
      </c>
      <c r="C140" s="459"/>
      <c r="D140" s="459"/>
      <c r="E140" s="459" t="s">
        <v>551</v>
      </c>
      <c r="F140" s="461"/>
      <c r="G140" s="345"/>
      <c r="H140" s="345">
        <f t="shared" si="48"/>
        <v>0</v>
      </c>
      <c r="I140" s="345">
        <v>90.778999999999996</v>
      </c>
      <c r="J140" s="463"/>
      <c r="K140" s="345">
        <v>90.778999999999996</v>
      </c>
      <c r="L140" s="463"/>
      <c r="M140" s="345">
        <v>90.778999999999996</v>
      </c>
      <c r="N140" s="463"/>
      <c r="O140" s="345">
        <v>90.778999999999996</v>
      </c>
      <c r="P140" s="463"/>
      <c r="Q140" s="465">
        <f t="shared" si="49"/>
        <v>90.778999999999996</v>
      </c>
      <c r="R140" s="504"/>
      <c r="S140" s="408"/>
      <c r="T140" s="463"/>
    </row>
    <row r="141" spans="1:20" ht="13.5" customHeight="1" x14ac:dyDescent="0.2">
      <c r="A141" s="448" t="s">
        <v>52</v>
      </c>
      <c r="B141" s="350"/>
      <c r="C141" s="350"/>
      <c r="D141" s="350"/>
      <c r="E141" s="350"/>
      <c r="F141" s="454">
        <f>SUM(F142:F143)</f>
        <v>0</v>
      </c>
      <c r="G141" s="449">
        <f>SUM(G142:G143)</f>
        <v>673.49969999999996</v>
      </c>
      <c r="H141" s="449">
        <f>SUM(H142:H143)</f>
        <v>673.49969999999996</v>
      </c>
      <c r="I141" s="449"/>
      <c r="J141" s="451"/>
      <c r="K141" s="449"/>
      <c r="L141" s="451"/>
      <c r="M141" s="449">
        <f>SUM(M142:M143)</f>
        <v>0</v>
      </c>
      <c r="N141" s="451">
        <f>M141/$H141*100</f>
        <v>0</v>
      </c>
      <c r="O141" s="449">
        <f>SUM(O142:O143)</f>
        <v>0</v>
      </c>
      <c r="P141" s="451">
        <f t="shared" ref="P141:P145" si="53">O141/$H141*100</f>
        <v>0</v>
      </c>
      <c r="Q141" s="456">
        <f>SUM(Q142:Q143)</f>
        <v>-673.49969999999996</v>
      </c>
      <c r="R141" s="468"/>
      <c r="S141" s="407">
        <f>SUM(S142:S143)</f>
        <v>673</v>
      </c>
      <c r="T141" s="451"/>
    </row>
    <row r="142" spans="1:20" x14ac:dyDescent="0.2">
      <c r="A142" s="448"/>
      <c r="B142" s="349">
        <v>4216</v>
      </c>
      <c r="C142" s="459">
        <v>229</v>
      </c>
      <c r="D142" s="349"/>
      <c r="E142" s="507" t="s">
        <v>418</v>
      </c>
      <c r="F142" s="454"/>
      <c r="G142" s="461">
        <v>673.49969999999996</v>
      </c>
      <c r="H142" s="345">
        <f t="shared" ref="H142:H143" si="54">SUM(F142:G142)</f>
        <v>673.49969999999996</v>
      </c>
      <c r="I142" s="461"/>
      <c r="J142" s="463"/>
      <c r="K142" s="461"/>
      <c r="L142" s="463"/>
      <c r="M142" s="461"/>
      <c r="N142" s="463"/>
      <c r="O142" s="345"/>
      <c r="P142" s="463">
        <f t="shared" si="53"/>
        <v>0</v>
      </c>
      <c r="Q142" s="465">
        <f t="shared" ref="Q142:Q143" si="55">O142-H142</f>
        <v>-673.49969999999996</v>
      </c>
      <c r="R142" s="486"/>
      <c r="S142" s="407">
        <v>673</v>
      </c>
      <c r="T142" s="451"/>
    </row>
    <row r="143" spans="1:20" ht="13.5" thickBot="1" x14ac:dyDescent="0.25">
      <c r="A143" s="448"/>
      <c r="B143" s="349">
        <v>4222</v>
      </c>
      <c r="C143" s="459"/>
      <c r="D143" s="349"/>
      <c r="E143" s="507"/>
      <c r="F143" s="454"/>
      <c r="G143" s="461"/>
      <c r="H143" s="345">
        <f t="shared" si="54"/>
        <v>0</v>
      </c>
      <c r="I143" s="461"/>
      <c r="J143" s="463"/>
      <c r="K143" s="461"/>
      <c r="L143" s="463"/>
      <c r="M143" s="461"/>
      <c r="N143" s="463"/>
      <c r="O143" s="345"/>
      <c r="P143" s="463"/>
      <c r="Q143" s="465">
        <f t="shared" si="55"/>
        <v>0</v>
      </c>
      <c r="R143" s="486"/>
      <c r="S143" s="407"/>
      <c r="T143" s="451"/>
    </row>
    <row r="144" spans="1:20" ht="16.5" thickBot="1" x14ac:dyDescent="0.3">
      <c r="A144" s="473" t="s">
        <v>53</v>
      </c>
      <c r="B144" s="509"/>
      <c r="C144" s="509"/>
      <c r="D144" s="509"/>
      <c r="E144" s="509"/>
      <c r="F144" s="521">
        <f>SUM(F108+F141)</f>
        <v>33800</v>
      </c>
      <c r="G144" s="521">
        <f>SUM(G108+G141)</f>
        <v>15003.899590000001</v>
      </c>
      <c r="H144" s="521">
        <f>SUM(H108+H141)</f>
        <v>48803.899589999994</v>
      </c>
      <c r="I144" s="521">
        <f>SUM(I108+I141)</f>
        <v>8173.459499999999</v>
      </c>
      <c r="J144" s="476">
        <f t="shared" ref="J144:J145" si="56">I144/$H144*100</f>
        <v>16.747554127159862</v>
      </c>
      <c r="K144" s="521">
        <f>SUM(K108+K141)</f>
        <v>28998.472689999999</v>
      </c>
      <c r="L144" s="476">
        <f>K144/$H144*100</f>
        <v>59.418351676024336</v>
      </c>
      <c r="M144" s="521">
        <f>SUM(M108+M141)</f>
        <v>37173.577390000006</v>
      </c>
      <c r="N144" s="476">
        <f>M144/$H144*100</f>
        <v>76.169276845280905</v>
      </c>
      <c r="O144" s="521">
        <f>SUM(O108+O141)</f>
        <v>47978.161390000001</v>
      </c>
      <c r="P144" s="476">
        <f t="shared" si="53"/>
        <v>98.308048727792269</v>
      </c>
      <c r="Q144" s="477">
        <f>SUM(Q108+Q141)</f>
        <v>-825.73820000000001</v>
      </c>
      <c r="R144" s="522"/>
      <c r="S144" s="412">
        <f>SUM(S108+S141)</f>
        <v>35493</v>
      </c>
      <c r="T144" s="476">
        <f>S144/$F144*100</f>
        <v>105.00887573964496</v>
      </c>
    </row>
    <row r="145" spans="1:20" ht="14.25" customHeight="1" x14ac:dyDescent="0.25">
      <c r="A145" s="523" t="s">
        <v>11</v>
      </c>
      <c r="B145" s="524"/>
      <c r="C145" s="525"/>
      <c r="D145" s="526"/>
      <c r="E145" s="527"/>
      <c r="F145" s="528">
        <f>SUM(F37+F99+F106+F144)</f>
        <v>186382</v>
      </c>
      <c r="G145" s="528">
        <f>SUM(G37+G99+G106+G144)</f>
        <v>17132.764289999999</v>
      </c>
      <c r="H145" s="528">
        <f>SUM(H37+H99+H106+H144)</f>
        <v>203514.76428999999</v>
      </c>
      <c r="I145" s="528">
        <f>SUM(I37+I99+I106+I144)</f>
        <v>56938.235930000003</v>
      </c>
      <c r="J145" s="529">
        <f t="shared" si="56"/>
        <v>27.977447301496717</v>
      </c>
      <c r="K145" s="528">
        <f>SUM(K37+K99+K106+K144)</f>
        <v>113795.27705999999</v>
      </c>
      <c r="L145" s="529">
        <f>K145/$H145*100</f>
        <v>55.914998332920206</v>
      </c>
      <c r="M145" s="528">
        <f>SUM(M37+M99+M106+M144)</f>
        <v>166823.23561999999</v>
      </c>
      <c r="N145" s="529">
        <f>M145/$H145*100</f>
        <v>81.971072812331144</v>
      </c>
      <c r="O145" s="528">
        <f>SUM(O37+O99+O106+O144)</f>
        <v>230749.31060999996</v>
      </c>
      <c r="P145" s="528">
        <f t="shared" si="53"/>
        <v>113.38209854946537</v>
      </c>
      <c r="Q145" s="530">
        <f>SUM(Q37+Q99+Q106+Q144)</f>
        <v>27234.546320000001</v>
      </c>
      <c r="R145" s="531"/>
      <c r="S145" s="413">
        <f>SUM(S37+S99+S106+S144)</f>
        <v>205286</v>
      </c>
      <c r="T145" s="528">
        <f>S145/$F145*100</f>
        <v>110.14261033790818</v>
      </c>
    </row>
    <row r="146" spans="1:20" ht="13.5" thickBot="1" x14ac:dyDescent="0.25">
      <c r="A146" s="503"/>
      <c r="B146" s="421"/>
      <c r="C146" s="421"/>
      <c r="D146" s="421"/>
      <c r="E146" s="421"/>
      <c r="F146" s="422"/>
      <c r="G146" s="422"/>
      <c r="H146" s="422"/>
      <c r="I146" s="422"/>
      <c r="J146" s="425"/>
      <c r="K146" s="422"/>
      <c r="L146" s="425"/>
      <c r="M146" s="422"/>
      <c r="N146" s="425"/>
      <c r="O146" s="345"/>
      <c r="P146" s="425"/>
      <c r="Q146" s="532"/>
      <c r="R146" s="488"/>
      <c r="S146" s="428"/>
      <c r="T146" s="429"/>
    </row>
    <row r="147" spans="1:20" ht="24" customHeight="1" thickBot="1" x14ac:dyDescent="0.25">
      <c r="A147" s="533"/>
      <c r="B147" s="534"/>
      <c r="C147" s="534"/>
      <c r="D147" s="534"/>
      <c r="E147" s="535"/>
      <c r="F147" s="536" t="s">
        <v>324</v>
      </c>
      <c r="G147" s="537" t="str">
        <f>G3</f>
        <v>Změna</v>
      </c>
      <c r="H147" s="536" t="s">
        <v>96</v>
      </c>
      <c r="I147" s="538" t="str">
        <f>I3</f>
        <v>1.Q.2022</v>
      </c>
      <c r="J147" s="539" t="s">
        <v>4</v>
      </c>
      <c r="K147" s="538" t="str">
        <f>K3</f>
        <v>2.Q.2022</v>
      </c>
      <c r="L147" s="540" t="s">
        <v>4</v>
      </c>
      <c r="M147" s="538" t="str">
        <f>M3</f>
        <v>3.Q.2022</v>
      </c>
      <c r="N147" s="539" t="s">
        <v>4</v>
      </c>
      <c r="O147" s="538" t="str">
        <f>O3</f>
        <v>4.Q.2022</v>
      </c>
      <c r="P147" s="541" t="s">
        <v>4</v>
      </c>
      <c r="Q147" s="542" t="s">
        <v>88</v>
      </c>
      <c r="R147" s="543"/>
      <c r="S147" s="414" t="str">
        <f>S2</f>
        <v>Rozpočet 23</v>
      </c>
      <c r="T147" s="536" t="s">
        <v>316</v>
      </c>
    </row>
    <row r="148" spans="1:20" x14ac:dyDescent="0.2">
      <c r="A148" s="533" t="s">
        <v>54</v>
      </c>
      <c r="B148" s="421"/>
      <c r="C148" s="421"/>
      <c r="D148" s="421"/>
      <c r="E148" s="544" t="s">
        <v>55</v>
      </c>
      <c r="F148" s="545">
        <f>F37</f>
        <v>103445</v>
      </c>
      <c r="G148" s="545">
        <f>G37</f>
        <v>196</v>
      </c>
      <c r="H148" s="545">
        <f>H37</f>
        <v>103641</v>
      </c>
      <c r="I148" s="545">
        <f>I37</f>
        <v>32785.465900000003</v>
      </c>
      <c r="J148" s="546">
        <f t="shared" ref="J148:J154" si="57">I148/$H148*100</f>
        <v>31.63368348433535</v>
      </c>
      <c r="K148" s="545">
        <f>K37</f>
        <v>62314.661700000004</v>
      </c>
      <c r="L148" s="546">
        <f t="shared" ref="L148:L154" si="58">K148/$H148*100</f>
        <v>60.125492517440016</v>
      </c>
      <c r="M148" s="545">
        <f>M37</f>
        <v>95159.963150000011</v>
      </c>
      <c r="N148" s="547">
        <f t="shared" ref="N148:N154" si="59">M148/$H148*100</f>
        <v>91.816909475979585</v>
      </c>
      <c r="O148" s="545">
        <f>O37</f>
        <v>125889.95433999998</v>
      </c>
      <c r="P148" s="547">
        <f t="shared" ref="P148:P154" si="60">O148/$H148*100</f>
        <v>121.46732889493539</v>
      </c>
      <c r="Q148" s="465">
        <f>Q37</f>
        <v>22248.95434</v>
      </c>
      <c r="R148" s="548"/>
      <c r="S148" s="415">
        <f>S37</f>
        <v>117305</v>
      </c>
      <c r="T148" s="547">
        <f t="shared" ref="T148:T154" si="61">S148/$F148*100</f>
        <v>113.39842428343565</v>
      </c>
    </row>
    <row r="149" spans="1:20" x14ac:dyDescent="0.2">
      <c r="A149" s="503"/>
      <c r="B149" s="421"/>
      <c r="C149" s="421"/>
      <c r="D149" s="421"/>
      <c r="E149" s="544" t="s">
        <v>56</v>
      </c>
      <c r="F149" s="545">
        <f>F99</f>
        <v>31040</v>
      </c>
      <c r="G149" s="545">
        <f>G99</f>
        <v>1782.8647000000001</v>
      </c>
      <c r="H149" s="332">
        <f>H99</f>
        <v>32822.864699999998</v>
      </c>
      <c r="I149" s="545">
        <f>I99</f>
        <v>7779.3105299999997</v>
      </c>
      <c r="J149" s="546">
        <f t="shared" si="57"/>
        <v>23.700888393205972</v>
      </c>
      <c r="K149" s="545">
        <f>K99</f>
        <v>14282.142669999999</v>
      </c>
      <c r="L149" s="546">
        <f t="shared" si="58"/>
        <v>43.512785372448008</v>
      </c>
      <c r="M149" s="545">
        <f>M99</f>
        <v>26125.295080000004</v>
      </c>
      <c r="N149" s="547">
        <f t="shared" si="59"/>
        <v>79.594804776439901</v>
      </c>
      <c r="O149" s="545">
        <f>O99</f>
        <v>36179.030879999998</v>
      </c>
      <c r="P149" s="547">
        <f t="shared" si="60"/>
        <v>110.22508611199923</v>
      </c>
      <c r="Q149" s="465">
        <f>Q99</f>
        <v>3356.1661799999988</v>
      </c>
      <c r="R149" s="549"/>
      <c r="S149" s="415">
        <f>S99</f>
        <v>34101</v>
      </c>
      <c r="T149" s="547">
        <f t="shared" si="61"/>
        <v>109.86146907216494</v>
      </c>
    </row>
    <row r="150" spans="1:20" x14ac:dyDescent="0.2">
      <c r="A150" s="503"/>
      <c r="B150" s="421"/>
      <c r="C150" s="421"/>
      <c r="D150" s="421"/>
      <c r="E150" s="544" t="s">
        <v>57</v>
      </c>
      <c r="F150" s="550">
        <f>F108</f>
        <v>33800</v>
      </c>
      <c r="G150" s="550">
        <f>G108</f>
        <v>14330.399890000001</v>
      </c>
      <c r="H150" s="550">
        <f>H108</f>
        <v>48130.399889999993</v>
      </c>
      <c r="I150" s="550">
        <f>I108</f>
        <v>8173.459499999999</v>
      </c>
      <c r="J150" s="546">
        <f t="shared" si="57"/>
        <v>16.981906484633615</v>
      </c>
      <c r="K150" s="550">
        <f>K108</f>
        <v>28998.472689999999</v>
      </c>
      <c r="L150" s="546">
        <f t="shared" si="58"/>
        <v>60.24980626854294</v>
      </c>
      <c r="M150" s="550">
        <f>M108</f>
        <v>37173.577390000006</v>
      </c>
      <c r="N150" s="547">
        <f t="shared" si="59"/>
        <v>77.235130967036753</v>
      </c>
      <c r="O150" s="550">
        <f>O108</f>
        <v>47978.161390000001</v>
      </c>
      <c r="P150" s="547">
        <f t="shared" si="60"/>
        <v>99.683695750818757</v>
      </c>
      <c r="Q150" s="465">
        <f>Q108</f>
        <v>-152.23849999999999</v>
      </c>
      <c r="R150" s="548"/>
      <c r="S150" s="416">
        <f>S108</f>
        <v>34820</v>
      </c>
      <c r="T150" s="547">
        <f t="shared" si="61"/>
        <v>103.01775147928993</v>
      </c>
    </row>
    <row r="151" spans="1:20" x14ac:dyDescent="0.2">
      <c r="A151" s="503"/>
      <c r="B151" s="421"/>
      <c r="C151" s="421"/>
      <c r="D151" s="421"/>
      <c r="E151" s="551" t="s">
        <v>58</v>
      </c>
      <c r="F151" s="552">
        <f>SUM(F148:F150)</f>
        <v>168285</v>
      </c>
      <c r="G151" s="552">
        <f>SUM(G148:G150)</f>
        <v>16309.264590000001</v>
      </c>
      <c r="H151" s="552">
        <f>SUM(H148:H150)</f>
        <v>184594.26459000001</v>
      </c>
      <c r="I151" s="552">
        <f>SUM(I148:I150)</f>
        <v>48738.235930000003</v>
      </c>
      <c r="J151" s="553">
        <f t="shared" si="57"/>
        <v>26.40289829061151</v>
      </c>
      <c r="K151" s="552">
        <f>SUM(K148:K150)</f>
        <v>105595.27705999999</v>
      </c>
      <c r="L151" s="553">
        <f t="shared" si="58"/>
        <v>57.20398588468408</v>
      </c>
      <c r="M151" s="552">
        <f>SUM(M148:M150)</f>
        <v>158458.83562000003</v>
      </c>
      <c r="N151" s="554">
        <f t="shared" si="59"/>
        <v>85.841689595259609</v>
      </c>
      <c r="O151" s="552">
        <f>SUM(O148:O150)</f>
        <v>210047.14660999997</v>
      </c>
      <c r="P151" s="554">
        <f t="shared" si="60"/>
        <v>113.78855517344108</v>
      </c>
      <c r="Q151" s="456">
        <f>SUM(Q148:Q150)</f>
        <v>25452.882020000001</v>
      </c>
      <c r="R151" s="555"/>
      <c r="S151" s="417">
        <f>SUM(S148:S150)</f>
        <v>186226</v>
      </c>
      <c r="T151" s="554">
        <f t="shared" si="61"/>
        <v>110.66108090441811</v>
      </c>
    </row>
    <row r="152" spans="1:20" x14ac:dyDescent="0.2">
      <c r="A152" s="503"/>
      <c r="B152" s="421"/>
      <c r="C152" s="421"/>
      <c r="D152" s="421"/>
      <c r="E152" s="544" t="s">
        <v>59</v>
      </c>
      <c r="F152" s="556">
        <f>F106</f>
        <v>18097</v>
      </c>
      <c r="G152" s="556">
        <f>G106</f>
        <v>150</v>
      </c>
      <c r="H152" s="556">
        <f>H106</f>
        <v>18247</v>
      </c>
      <c r="I152" s="556">
        <f>I106</f>
        <v>8200</v>
      </c>
      <c r="J152" s="546">
        <f t="shared" si="57"/>
        <v>44.93889406477777</v>
      </c>
      <c r="K152" s="556">
        <f>K106</f>
        <v>8200</v>
      </c>
      <c r="L152" s="546">
        <f t="shared" si="58"/>
        <v>44.93889406477777</v>
      </c>
      <c r="M152" s="556">
        <f>M106</f>
        <v>8364.4</v>
      </c>
      <c r="N152" s="547">
        <f t="shared" si="59"/>
        <v>45.839864087247214</v>
      </c>
      <c r="O152" s="556">
        <f>O106</f>
        <v>20702.163999999997</v>
      </c>
      <c r="P152" s="547">
        <f t="shared" si="60"/>
        <v>113.45516523264097</v>
      </c>
      <c r="Q152" s="465">
        <f>Q106</f>
        <v>2455.1639999999993</v>
      </c>
      <c r="R152" s="548" t="s">
        <v>1</v>
      </c>
      <c r="S152" s="418">
        <f>S106</f>
        <v>18387</v>
      </c>
      <c r="T152" s="547">
        <f t="shared" si="61"/>
        <v>101.60247554843345</v>
      </c>
    </row>
    <row r="153" spans="1:20" x14ac:dyDescent="0.2">
      <c r="A153" s="503"/>
      <c r="B153" s="421"/>
      <c r="C153" s="421"/>
      <c r="D153" s="421"/>
      <c r="E153" s="544" t="s">
        <v>60</v>
      </c>
      <c r="F153" s="556">
        <f>F141</f>
        <v>0</v>
      </c>
      <c r="G153" s="556">
        <f>G141</f>
        <v>673.49969999999996</v>
      </c>
      <c r="H153" s="556">
        <f>H141</f>
        <v>673.49969999999996</v>
      </c>
      <c r="I153" s="556">
        <f>I141</f>
        <v>0</v>
      </c>
      <c r="J153" s="546" t="s">
        <v>347</v>
      </c>
      <c r="K153" s="556">
        <f>K141</f>
        <v>0</v>
      </c>
      <c r="L153" s="546"/>
      <c r="M153" s="556">
        <f>M141</f>
        <v>0</v>
      </c>
      <c r="N153" s="547">
        <f t="shared" si="59"/>
        <v>0</v>
      </c>
      <c r="O153" s="556">
        <f>O141</f>
        <v>0</v>
      </c>
      <c r="P153" s="547">
        <f t="shared" si="60"/>
        <v>0</v>
      </c>
      <c r="Q153" s="465">
        <f>Q141</f>
        <v>-673.49969999999996</v>
      </c>
      <c r="R153" s="548"/>
      <c r="S153" s="418">
        <f>S141</f>
        <v>673</v>
      </c>
      <c r="T153" s="547">
        <f>S153/$H153*100</f>
        <v>99.925805460640888</v>
      </c>
    </row>
    <row r="154" spans="1:20" ht="13.5" thickBot="1" x14ac:dyDescent="0.25">
      <c r="A154" s="557"/>
      <c r="B154" s="421"/>
      <c r="C154" s="421"/>
      <c r="D154" s="421"/>
      <c r="E154" s="558" t="s">
        <v>61</v>
      </c>
      <c r="F154" s="559">
        <f>SUM(F151:F153)</f>
        <v>186382</v>
      </c>
      <c r="G154" s="559">
        <f>SUM(G151:G153)</f>
        <v>17132.764289999999</v>
      </c>
      <c r="H154" s="560">
        <f>SUM(H151:H153)</f>
        <v>203514.76428999999</v>
      </c>
      <c r="I154" s="559">
        <f>SUM(I151:I153)</f>
        <v>56938.235930000003</v>
      </c>
      <c r="J154" s="561">
        <f t="shared" si="57"/>
        <v>27.977447301496717</v>
      </c>
      <c r="K154" s="559">
        <f>SUM(K151:K153)</f>
        <v>113795.27705999999</v>
      </c>
      <c r="L154" s="561">
        <f t="shared" si="58"/>
        <v>55.914998332920206</v>
      </c>
      <c r="M154" s="559">
        <f>SUM(M151:M153)</f>
        <v>166823.23562000002</v>
      </c>
      <c r="N154" s="562">
        <f t="shared" si="59"/>
        <v>81.971072812331158</v>
      </c>
      <c r="O154" s="559">
        <f>SUM(O151:O153)</f>
        <v>230749.31060999996</v>
      </c>
      <c r="P154" s="562">
        <f t="shared" si="60"/>
        <v>113.38209854946537</v>
      </c>
      <c r="Q154" s="563">
        <f>SUM(Q151:Q153)</f>
        <v>27234.546320000001</v>
      </c>
      <c r="R154" s="564"/>
      <c r="S154" s="419">
        <f>SUM(S151:S153)</f>
        <v>205286</v>
      </c>
      <c r="T154" s="565">
        <f t="shared" si="61"/>
        <v>110.14261033790818</v>
      </c>
    </row>
    <row r="155" spans="1:20" x14ac:dyDescent="0.2">
      <c r="A155" s="503"/>
      <c r="B155" s="503"/>
      <c r="C155" s="421"/>
      <c r="D155" s="503"/>
      <c r="E155" s="566"/>
      <c r="F155" s="567"/>
      <c r="G155" s="567"/>
      <c r="H155" s="568"/>
      <c r="I155" s="569"/>
      <c r="J155" s="503"/>
      <c r="K155" s="567"/>
      <c r="L155" s="570"/>
      <c r="M155" s="567"/>
      <c r="N155" s="503"/>
      <c r="O155" s="567"/>
      <c r="P155" s="503"/>
      <c r="Q155" s="426"/>
      <c r="R155" s="488"/>
      <c r="S155" s="352"/>
      <c r="T155" s="421"/>
    </row>
    <row r="156" spans="1:20" x14ac:dyDescent="0.2">
      <c r="A156" s="503"/>
      <c r="B156" s="503"/>
      <c r="C156" s="421"/>
      <c r="D156" s="503"/>
      <c r="E156" s="566"/>
      <c r="F156" s="567"/>
      <c r="G156" s="567"/>
      <c r="H156" s="568"/>
      <c r="I156" s="569"/>
      <c r="J156" s="503"/>
      <c r="K156" s="567"/>
      <c r="L156" s="570"/>
      <c r="M156" s="567"/>
      <c r="N156" s="503"/>
      <c r="O156" s="567"/>
      <c r="P156" s="503"/>
      <c r="Q156" s="426"/>
      <c r="R156" s="488"/>
      <c r="S156" s="352"/>
      <c r="T156" s="421"/>
    </row>
    <row r="157" spans="1:20" x14ac:dyDescent="0.2">
      <c r="E157" s="111"/>
    </row>
    <row r="158" spans="1:20" x14ac:dyDescent="0.2">
      <c r="E158" s="111"/>
    </row>
    <row r="159" spans="1:20" x14ac:dyDescent="0.2">
      <c r="E159" s="111"/>
    </row>
    <row r="160" spans="1:20" x14ac:dyDescent="0.2">
      <c r="E160" s="111"/>
      <c r="H160" s="126"/>
    </row>
    <row r="161" spans="5:15" x14ac:dyDescent="0.2">
      <c r="E161" s="111"/>
      <c r="H161" s="126"/>
    </row>
    <row r="162" spans="5:15" x14ac:dyDescent="0.2">
      <c r="E162" s="181"/>
      <c r="H162" s="126"/>
    </row>
    <row r="163" spans="5:15" x14ac:dyDescent="0.2">
      <c r="E163" s="111"/>
      <c r="H163" s="126"/>
    </row>
    <row r="164" spans="5:15" x14ac:dyDescent="0.2">
      <c r="E164" s="111"/>
      <c r="H164" s="126"/>
    </row>
    <row r="165" spans="5:15" x14ac:dyDescent="0.2">
      <c r="H165" s="126"/>
    </row>
    <row r="166" spans="5:15" x14ac:dyDescent="0.2">
      <c r="H166" s="126"/>
    </row>
    <row r="167" spans="5:15" x14ac:dyDescent="0.2">
      <c r="H167" s="126"/>
      <c r="O167" s="222"/>
    </row>
    <row r="168" spans="5:15" x14ac:dyDescent="0.2">
      <c r="H168" s="126"/>
      <c r="O168" s="222"/>
    </row>
  </sheetData>
  <sortState ref="A112:AH113">
    <sortCondition ref="C112:C113"/>
  </sortState>
  <phoneticPr fontId="6" type="noConversion"/>
  <pageMargins left="0.39370078740157483" right="0.15748031496062992" top="0.78740157480314965" bottom="0.27559055118110237" header="0.19685039370078741" footer="0.15748031496062992"/>
  <pageSetup paperSize="9" scale="90" fitToHeight="0" orientation="landscape" r:id="rId1"/>
  <headerFooter alignWithMargins="0"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FO137"/>
  <sheetViews>
    <sheetView zoomScale="95" zoomScaleNormal="95" workbookViewId="0">
      <pane xSplit="4" ySplit="4" topLeftCell="E68" activePane="bottomRight" state="frozen"/>
      <selection pane="topRight" activeCell="E1" sqref="E1"/>
      <selection pane="bottomLeft" activeCell="A5" sqref="A5"/>
      <selection pane="bottomRight"/>
    </sheetView>
  </sheetViews>
  <sheetFormatPr defaultColWidth="7.85546875" defaultRowHeight="12.75" x14ac:dyDescent="0.2"/>
  <cols>
    <col min="1" max="1" width="3.28515625" style="64" customWidth="1"/>
    <col min="2" max="2" width="4.85546875" style="19" customWidth="1"/>
    <col min="3" max="3" width="8.28515625" style="19" customWidth="1"/>
    <col min="4" max="4" width="31.140625" style="19" customWidth="1"/>
    <col min="5" max="5" width="6.5703125" style="64" customWidth="1"/>
    <col min="6" max="6" width="6.85546875" style="64" customWidth="1"/>
    <col min="7" max="7" width="6.85546875" style="64" bestFit="1" customWidth="1"/>
    <col min="8" max="8" width="5.85546875" style="64" bestFit="1" customWidth="1"/>
    <col min="9" max="9" width="5.7109375" style="64" customWidth="1"/>
    <col min="10" max="10" width="9" style="64" customWidth="1"/>
    <col min="11" max="11" width="6.140625" style="64" customWidth="1"/>
    <col min="12" max="12" width="12.140625" style="64" customWidth="1"/>
    <col min="13" max="13" width="6.5703125" style="64" hidden="1" customWidth="1"/>
    <col min="14" max="15" width="6.85546875" style="64" hidden="1" customWidth="1"/>
    <col min="16" max="16" width="5.140625" style="64" hidden="1" customWidth="1"/>
    <col min="17" max="17" width="7.5703125" style="64" hidden="1" customWidth="1"/>
    <col min="18" max="18" width="7.28515625" style="64" hidden="1" customWidth="1"/>
    <col min="19" max="19" width="6.85546875" style="64" hidden="1" customWidth="1"/>
    <col min="20" max="20" width="7.85546875" style="64" hidden="1" customWidth="1"/>
    <col min="21" max="21" width="9" style="64" hidden="1" customWidth="1"/>
    <col min="22" max="22" width="6.5703125" style="64" hidden="1" customWidth="1"/>
    <col min="23" max="23" width="11" style="64" hidden="1" customWidth="1"/>
    <col min="24" max="24" width="5.140625" style="64" hidden="1" customWidth="1"/>
    <col min="25" max="25" width="6.85546875" style="133" bestFit="1" customWidth="1"/>
    <col min="26" max="26" width="7.42578125" style="70" customWidth="1"/>
    <col min="27" max="27" width="6.85546875" style="70" bestFit="1" customWidth="1"/>
    <col min="28" max="28" width="4.85546875" style="99" customWidth="1"/>
    <col min="29" max="29" width="7.140625" style="64" customWidth="1"/>
    <col min="30" max="30" width="6.85546875" style="64" bestFit="1" customWidth="1"/>
    <col min="31" max="31" width="8.42578125" style="64" customWidth="1"/>
    <col min="32" max="32" width="6.85546875" style="64" bestFit="1" customWidth="1"/>
    <col min="33" max="33" width="5.7109375" style="99" customWidth="1"/>
    <col min="34" max="34" width="26.28515625" style="128" bestFit="1" customWidth="1"/>
    <col min="35" max="35" width="6.7109375" style="421" customWidth="1"/>
    <col min="36" max="36" width="8.140625" style="421" customWidth="1"/>
    <col min="37" max="37" width="7.85546875" style="64" customWidth="1"/>
    <col min="38" max="16384" width="7.85546875" style="64"/>
  </cols>
  <sheetData>
    <row r="1" spans="1:36" ht="18.75" thickBot="1" x14ac:dyDescent="0.3">
      <c r="A1" s="69" t="s">
        <v>568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 s="130"/>
      <c r="Z1" s="112"/>
      <c r="AA1" s="112"/>
      <c r="AC1" s="110"/>
      <c r="AD1"/>
      <c r="AE1"/>
      <c r="AF1"/>
      <c r="AH1" s="141"/>
    </row>
    <row r="2" spans="1:36" ht="13.5" thickBot="1" x14ac:dyDescent="0.25">
      <c r="A2" s="73"/>
      <c r="B2" s="65"/>
      <c r="C2" s="65"/>
      <c r="D2" s="121"/>
      <c r="E2" s="82"/>
      <c r="F2" s="82" t="s">
        <v>325</v>
      </c>
      <c r="G2" s="82"/>
      <c r="H2" s="593" t="s">
        <v>3</v>
      </c>
      <c r="I2" s="594"/>
      <c r="J2" s="108"/>
      <c r="K2" s="29" t="s">
        <v>97</v>
      </c>
      <c r="L2" s="82"/>
      <c r="M2" s="82"/>
      <c r="N2" s="82" t="s">
        <v>390</v>
      </c>
      <c r="O2" s="82"/>
      <c r="P2" s="82"/>
      <c r="Q2" s="82"/>
      <c r="R2" s="82" t="s">
        <v>391</v>
      </c>
      <c r="S2" s="82"/>
      <c r="T2" s="82"/>
      <c r="U2" s="82"/>
      <c r="V2" s="82" t="s">
        <v>392</v>
      </c>
      <c r="W2" s="82"/>
      <c r="X2" s="229"/>
      <c r="Y2" s="230"/>
      <c r="Z2" s="231" t="s">
        <v>457</v>
      </c>
      <c r="AA2" s="232"/>
      <c r="AB2" s="381"/>
      <c r="AC2" s="316"/>
      <c r="AD2" s="571"/>
      <c r="AE2" s="571" t="s">
        <v>393</v>
      </c>
      <c r="AF2" s="571"/>
      <c r="AG2" s="394"/>
      <c r="AH2" s="142"/>
      <c r="AI2" s="573"/>
      <c r="AJ2" s="574"/>
    </row>
    <row r="3" spans="1:36" x14ac:dyDescent="0.2">
      <c r="A3" s="61"/>
      <c r="B3" s="23"/>
      <c r="C3" s="23"/>
      <c r="D3" s="172"/>
      <c r="E3" s="171">
        <v>2022</v>
      </c>
      <c r="F3" s="31">
        <v>2022</v>
      </c>
      <c r="G3" s="60">
        <v>2022</v>
      </c>
      <c r="H3" s="308">
        <v>2021</v>
      </c>
      <c r="I3" s="309">
        <v>2021</v>
      </c>
      <c r="J3" s="30">
        <v>2022</v>
      </c>
      <c r="K3" s="31">
        <v>2022</v>
      </c>
      <c r="L3" s="60">
        <v>2022</v>
      </c>
      <c r="M3" s="30">
        <v>2022</v>
      </c>
      <c r="N3" s="31">
        <v>2022</v>
      </c>
      <c r="O3" s="60">
        <v>2022</v>
      </c>
      <c r="P3" s="60"/>
      <c r="Q3" s="30">
        <v>2022</v>
      </c>
      <c r="R3" s="31">
        <v>2022</v>
      </c>
      <c r="S3" s="60">
        <v>2022</v>
      </c>
      <c r="T3" s="60"/>
      <c r="U3" s="30">
        <v>2022</v>
      </c>
      <c r="V3" s="31">
        <v>2022</v>
      </c>
      <c r="W3" s="60">
        <v>2022</v>
      </c>
      <c r="X3" s="60"/>
      <c r="Y3" s="157" t="s">
        <v>389</v>
      </c>
      <c r="Z3" s="223" t="s">
        <v>389</v>
      </c>
      <c r="AA3" s="221" t="s">
        <v>389</v>
      </c>
      <c r="AB3" s="382"/>
      <c r="AC3" s="317" t="s">
        <v>234</v>
      </c>
      <c r="AD3" s="30">
        <v>2023</v>
      </c>
      <c r="AE3" s="31">
        <v>2023</v>
      </c>
      <c r="AF3" s="109">
        <v>2023</v>
      </c>
      <c r="AG3" s="382"/>
      <c r="AH3" s="143"/>
      <c r="AI3" s="575" t="s">
        <v>143</v>
      </c>
      <c r="AJ3" s="576" t="s">
        <v>151</v>
      </c>
    </row>
    <row r="4" spans="1:36" ht="13.5" thickBot="1" x14ac:dyDescent="0.25">
      <c r="A4" s="32" t="s">
        <v>62</v>
      </c>
      <c r="B4" s="21" t="s">
        <v>21</v>
      </c>
      <c r="C4" s="21" t="s">
        <v>411</v>
      </c>
      <c r="D4" s="173" t="s">
        <v>63</v>
      </c>
      <c r="E4" s="106" t="s">
        <v>64</v>
      </c>
      <c r="F4" s="21" t="s">
        <v>65</v>
      </c>
      <c r="G4" s="33" t="s">
        <v>66</v>
      </c>
      <c r="H4" s="32" t="s">
        <v>64</v>
      </c>
      <c r="I4" s="173" t="s">
        <v>65</v>
      </c>
      <c r="J4" s="106" t="s">
        <v>64</v>
      </c>
      <c r="K4" s="21" t="s">
        <v>65</v>
      </c>
      <c r="L4" s="33" t="s">
        <v>66</v>
      </c>
      <c r="M4" s="106" t="s">
        <v>64</v>
      </c>
      <c r="N4" s="21" t="s">
        <v>65</v>
      </c>
      <c r="O4" s="33" t="s">
        <v>66</v>
      </c>
      <c r="P4" s="33" t="s">
        <v>4</v>
      </c>
      <c r="Q4" s="106" t="s">
        <v>64</v>
      </c>
      <c r="R4" s="21" t="s">
        <v>65</v>
      </c>
      <c r="S4" s="33" t="s">
        <v>66</v>
      </c>
      <c r="T4" s="33" t="s">
        <v>4</v>
      </c>
      <c r="U4" s="106" t="s">
        <v>64</v>
      </c>
      <c r="V4" s="21" t="s">
        <v>65</v>
      </c>
      <c r="W4" s="33" t="s">
        <v>66</v>
      </c>
      <c r="X4" s="33" t="s">
        <v>4</v>
      </c>
      <c r="Y4" s="131" t="s">
        <v>64</v>
      </c>
      <c r="Z4" s="224" t="s">
        <v>65</v>
      </c>
      <c r="AA4" s="33" t="s">
        <v>66</v>
      </c>
      <c r="AB4" s="383" t="s">
        <v>4</v>
      </c>
      <c r="AC4" s="177"/>
      <c r="AD4" s="106" t="s">
        <v>64</v>
      </c>
      <c r="AE4" s="21" t="s">
        <v>65</v>
      </c>
      <c r="AF4" s="136" t="s">
        <v>66</v>
      </c>
      <c r="AG4" s="383" t="s">
        <v>4</v>
      </c>
      <c r="AH4" s="144" t="s">
        <v>224</v>
      </c>
      <c r="AI4" s="105" t="s">
        <v>142</v>
      </c>
      <c r="AJ4" s="577" t="s">
        <v>146</v>
      </c>
    </row>
    <row r="5" spans="1:36" x14ac:dyDescent="0.2">
      <c r="A5" s="74">
        <v>10</v>
      </c>
      <c r="B5" s="48"/>
      <c r="C5" s="48"/>
      <c r="D5" s="80" t="s">
        <v>67</v>
      </c>
      <c r="E5" s="34">
        <f t="shared" ref="E5:L5" si="0">SUM(E6:E7)</f>
        <v>1283</v>
      </c>
      <c r="F5" s="35">
        <f t="shared" si="0"/>
        <v>105</v>
      </c>
      <c r="G5" s="83">
        <f t="shared" si="0"/>
        <v>1388</v>
      </c>
      <c r="H5" s="34">
        <f t="shared" si="0"/>
        <v>732.1450000000001</v>
      </c>
      <c r="I5" s="83">
        <f t="shared" si="0"/>
        <v>466.01799999999997</v>
      </c>
      <c r="J5" s="34">
        <f>SUM(J6:J7)</f>
        <v>2015.145</v>
      </c>
      <c r="K5" s="35">
        <f t="shared" si="0"/>
        <v>571.01800000000003</v>
      </c>
      <c r="L5" s="83">
        <f t="shared" si="0"/>
        <v>2586.163</v>
      </c>
      <c r="M5" s="34">
        <f>SUM(M6:M6)</f>
        <v>167.63663</v>
      </c>
      <c r="N5" s="35">
        <f>SUM(N6:N6)</f>
        <v>0</v>
      </c>
      <c r="O5" s="83">
        <f>SUM(O6:O6)</f>
        <v>167.63663</v>
      </c>
      <c r="P5" s="182">
        <f>O5/$L5*100</f>
        <v>6.4820597154935715</v>
      </c>
      <c r="Q5" s="34">
        <f>SUM(Q6:Q6)</f>
        <v>487.25708999999995</v>
      </c>
      <c r="R5" s="35">
        <f>SUM(R6:R6)</f>
        <v>100.465</v>
      </c>
      <c r="S5" s="83">
        <f>SUM(S6:S6)</f>
        <v>587.72208999999998</v>
      </c>
      <c r="T5" s="198">
        <f>S5/$L5*100</f>
        <v>22.725639876527502</v>
      </c>
      <c r="U5" s="34">
        <f>SUM(U6:U6)</f>
        <v>794.37645999999995</v>
      </c>
      <c r="V5" s="35">
        <f>SUM(V6:V6)</f>
        <v>100.465</v>
      </c>
      <c r="W5" s="83">
        <f>SUM(W6:W6)</f>
        <v>894.84145999999998</v>
      </c>
      <c r="X5" s="205">
        <f>W5/$L5*100</f>
        <v>34.601123749740445</v>
      </c>
      <c r="Y5" s="34">
        <f>SUM(Y6:Y7)</f>
        <v>1923.4515199999998</v>
      </c>
      <c r="Z5" s="35">
        <f>SUM(Z6:Z7)</f>
        <v>566.48299999999995</v>
      </c>
      <c r="AA5" s="83">
        <f>SUM(AA6:AA7)</f>
        <v>2489.9345199999998</v>
      </c>
      <c r="AB5" s="384">
        <f>AA5/$L5*100</f>
        <v>96.279102283962757</v>
      </c>
      <c r="AC5" s="318">
        <f>SUM(AC6:AC7)</f>
        <v>96.228480000000218</v>
      </c>
      <c r="AD5" s="333">
        <f>SUM(AD6:AD7)</f>
        <v>1455</v>
      </c>
      <c r="AE5" s="334">
        <f>SUM(AE6:AE7)</f>
        <v>0</v>
      </c>
      <c r="AF5" s="139">
        <f>SUM(AF6:AF7)</f>
        <v>1455</v>
      </c>
      <c r="AG5" s="384">
        <f>AF5/$G5*100</f>
        <v>104.82708933717579</v>
      </c>
      <c r="AH5" s="145"/>
      <c r="AI5" s="333"/>
      <c r="AJ5" s="590"/>
    </row>
    <row r="6" spans="1:36" x14ac:dyDescent="0.2">
      <c r="A6" s="67"/>
      <c r="B6" s="22">
        <v>1031</v>
      </c>
      <c r="C6" s="22">
        <v>201</v>
      </c>
      <c r="D6" s="57" t="s">
        <v>175</v>
      </c>
      <c r="E6" s="28">
        <f>630+653</f>
        <v>1283</v>
      </c>
      <c r="F6" s="118">
        <v>105</v>
      </c>
      <c r="G6" s="38">
        <f>E6+F6</f>
        <v>1388</v>
      </c>
      <c r="H6" s="310">
        <f>65.557+34.98</f>
        <v>100.53700000000001</v>
      </c>
      <c r="I6" s="57"/>
      <c r="J6" s="28">
        <f>E6+H6</f>
        <v>1383.537</v>
      </c>
      <c r="K6" s="22">
        <f>F6+I6</f>
        <v>105</v>
      </c>
      <c r="L6" s="38">
        <f>SUM(J6:K6)</f>
        <v>1488.537</v>
      </c>
      <c r="M6" s="28">
        <v>167.63663</v>
      </c>
      <c r="N6" s="118"/>
      <c r="O6" s="38">
        <f>M6+N6</f>
        <v>167.63663</v>
      </c>
      <c r="P6" s="183">
        <f>O6/$L6*100</f>
        <v>11.261838301634423</v>
      </c>
      <c r="Q6" s="28">
        <v>487.25708999999995</v>
      </c>
      <c r="R6" s="118">
        <v>100.465</v>
      </c>
      <c r="S6" s="38">
        <f>Q6+R6</f>
        <v>587.72208999999998</v>
      </c>
      <c r="T6" s="199">
        <f>S6/$L6*100</f>
        <v>39.483203306333664</v>
      </c>
      <c r="U6" s="28">
        <v>794.37645999999995</v>
      </c>
      <c r="V6" s="118">
        <v>100.465</v>
      </c>
      <c r="W6" s="38">
        <f>U6+V6</f>
        <v>894.84145999999998</v>
      </c>
      <c r="X6" s="206">
        <f>W6/$L6*100</f>
        <v>60.115499984212683</v>
      </c>
      <c r="Y6" s="28">
        <f>663.84352+628</f>
        <v>1291.8435199999999</v>
      </c>
      <c r="Z6" s="15">
        <v>100.465</v>
      </c>
      <c r="AA6" s="38">
        <f>Y6+Z6</f>
        <v>1392.3085199999998</v>
      </c>
      <c r="AB6" s="191">
        <f>AA6/$L6*100</f>
        <v>93.535365261327044</v>
      </c>
      <c r="AC6" s="319">
        <f>L6-AA6</f>
        <v>96.228480000000218</v>
      </c>
      <c r="AD6" s="335">
        <f>736+9+710</f>
        <v>1455</v>
      </c>
      <c r="AE6" s="335"/>
      <c r="AF6" s="138">
        <f>AD6+AE6</f>
        <v>1455</v>
      </c>
      <c r="AG6" s="191">
        <f>AF6/$G6*100</f>
        <v>104.82708933717579</v>
      </c>
      <c r="AH6" s="146"/>
      <c r="AI6" s="332" t="s">
        <v>263</v>
      </c>
      <c r="AJ6" s="351" t="s">
        <v>68</v>
      </c>
    </row>
    <row r="7" spans="1:36" x14ac:dyDescent="0.2">
      <c r="A7" s="67"/>
      <c r="B7" s="22">
        <v>1036</v>
      </c>
      <c r="C7" s="22">
        <v>109</v>
      </c>
      <c r="D7" s="57" t="s">
        <v>343</v>
      </c>
      <c r="E7" s="28"/>
      <c r="F7" s="118"/>
      <c r="G7" s="38"/>
      <c r="H7" s="310">
        <f>415.213+144.174+0.256+71.965</f>
        <v>631.60800000000006</v>
      </c>
      <c r="I7" s="57">
        <f>466.018</f>
        <v>466.01799999999997</v>
      </c>
      <c r="J7" s="28">
        <f>E7+H7</f>
        <v>631.60800000000006</v>
      </c>
      <c r="K7" s="118">
        <f>F7+I7</f>
        <v>466.01799999999997</v>
      </c>
      <c r="L7" s="38">
        <f>SUM(J7:K7)</f>
        <v>1097.626</v>
      </c>
      <c r="M7" s="28"/>
      <c r="N7" s="118"/>
      <c r="O7" s="38"/>
      <c r="P7" s="183"/>
      <c r="Q7" s="28"/>
      <c r="R7" s="118"/>
      <c r="S7" s="38"/>
      <c r="T7" s="199"/>
      <c r="U7" s="28">
        <v>0</v>
      </c>
      <c r="V7" s="118"/>
      <c r="W7" s="38"/>
      <c r="X7" s="206"/>
      <c r="Y7" s="28">
        <v>631.60799999999995</v>
      </c>
      <c r="Z7" s="15">
        <f>K7</f>
        <v>466.01799999999997</v>
      </c>
      <c r="AA7" s="38">
        <f>Y7+Z7</f>
        <v>1097.626</v>
      </c>
      <c r="AB7" s="191">
        <f>AA7/$L7*100</f>
        <v>100</v>
      </c>
      <c r="AC7" s="319">
        <f>L7-AA7</f>
        <v>0</v>
      </c>
      <c r="AD7" s="332"/>
      <c r="AE7" s="335"/>
      <c r="AF7" s="138"/>
      <c r="AG7" s="191"/>
      <c r="AH7" s="146"/>
      <c r="AI7" s="340"/>
      <c r="AJ7" s="579"/>
    </row>
    <row r="8" spans="1:36" x14ac:dyDescent="0.2">
      <c r="A8" s="75">
        <v>21</v>
      </c>
      <c r="B8" s="20"/>
      <c r="C8" s="20"/>
      <c r="D8" s="167" t="s">
        <v>219</v>
      </c>
      <c r="E8" s="165">
        <f t="shared" ref="E8:G8" si="1">SUM(E9:E13)</f>
        <v>1125</v>
      </c>
      <c r="F8" s="40">
        <f t="shared" si="1"/>
        <v>475</v>
      </c>
      <c r="G8" s="41">
        <f t="shared" si="1"/>
        <v>1600</v>
      </c>
      <c r="H8" s="39">
        <f t="shared" ref="H8:L8" si="2">SUM(H9:H13)</f>
        <v>90</v>
      </c>
      <c r="I8" s="41">
        <f t="shared" si="2"/>
        <v>1132</v>
      </c>
      <c r="J8" s="39">
        <f>SUM(J9:J13)</f>
        <v>1215</v>
      </c>
      <c r="K8" s="40">
        <f t="shared" si="2"/>
        <v>1607</v>
      </c>
      <c r="L8" s="41">
        <f t="shared" si="2"/>
        <v>2822</v>
      </c>
      <c r="M8" s="39">
        <f t="shared" ref="M8:O8" si="3">SUM(M9:M13)</f>
        <v>122.33177000000001</v>
      </c>
      <c r="N8" s="40">
        <f t="shared" si="3"/>
        <v>70.47</v>
      </c>
      <c r="O8" s="41">
        <f t="shared" si="3"/>
        <v>192.80176999999998</v>
      </c>
      <c r="P8" s="184">
        <f t="shared" ref="P8:P14" si="4">O8/$L8*100</f>
        <v>6.8320967399007779</v>
      </c>
      <c r="Q8" s="39">
        <f t="shared" ref="Q8:S8" si="5">SUM(Q9:Q13)</f>
        <v>265.52656999999999</v>
      </c>
      <c r="R8" s="40">
        <f t="shared" si="5"/>
        <v>70.47</v>
      </c>
      <c r="S8" s="41">
        <f t="shared" si="5"/>
        <v>335.99657000000002</v>
      </c>
      <c r="T8" s="200">
        <f t="shared" ref="T8:T64" si="6">S8/$L8*100</f>
        <v>11.906327781715097</v>
      </c>
      <c r="U8" s="39">
        <f t="shared" ref="U8:V8" si="7">SUM(U9:U13)</f>
        <v>380.98793000000001</v>
      </c>
      <c r="V8" s="40">
        <f t="shared" si="7"/>
        <v>70.47</v>
      </c>
      <c r="W8" s="41">
        <f>SUM(W9:W13)</f>
        <v>451.45793000000003</v>
      </c>
      <c r="X8" s="207">
        <f t="shared" ref="X8:X61" si="8">W8/$L8*100</f>
        <v>15.997800496102057</v>
      </c>
      <c r="Y8" s="39">
        <f t="shared" ref="Y8:Z8" si="9">SUM(Y9:Y13)</f>
        <v>554.18919000000005</v>
      </c>
      <c r="Z8" s="40">
        <f t="shared" si="9"/>
        <v>1318.9491</v>
      </c>
      <c r="AA8" s="41">
        <f>SUM(AA9:AA13)</f>
        <v>1873.1382900000001</v>
      </c>
      <c r="AB8" s="385">
        <f t="shared" ref="AB8:AB60" si="10">AA8/$L8*100</f>
        <v>66.376268249468467</v>
      </c>
      <c r="AC8" s="320">
        <f>SUM(AC9:AC13)</f>
        <v>948.8617099999999</v>
      </c>
      <c r="AD8" s="336">
        <f>SUM(AD9:AD13)</f>
        <v>2197</v>
      </c>
      <c r="AE8" s="337">
        <f t="shared" ref="AE8" si="11">SUM(AE9:AE13)</f>
        <v>0</v>
      </c>
      <c r="AF8" s="174">
        <f>SUM(AF9:AF13)</f>
        <v>2197</v>
      </c>
      <c r="AG8" s="385">
        <f t="shared" ref="AG8:AG13" si="12">AF8/$G8*100</f>
        <v>137.3125</v>
      </c>
      <c r="AH8" s="147"/>
      <c r="AI8" s="342"/>
      <c r="AJ8" s="578"/>
    </row>
    <row r="9" spans="1:36" x14ac:dyDescent="0.2">
      <c r="A9" s="43"/>
      <c r="B9" s="22">
        <v>2121</v>
      </c>
      <c r="C9" s="22">
        <v>20</v>
      </c>
      <c r="D9" s="57" t="s">
        <v>89</v>
      </c>
      <c r="E9" s="28"/>
      <c r="F9" s="15">
        <v>100</v>
      </c>
      <c r="G9" s="38">
        <f>E9+F9</f>
        <v>100</v>
      </c>
      <c r="H9" s="43"/>
      <c r="I9" s="57"/>
      <c r="J9" s="28">
        <f t="shared" ref="J9:J13" si="13">E9+H9</f>
        <v>0</v>
      </c>
      <c r="K9" s="22">
        <f t="shared" ref="K9:K11" si="14">F9+I9</f>
        <v>100</v>
      </c>
      <c r="L9" s="38">
        <f>SUM(J9:K9)</f>
        <v>100</v>
      </c>
      <c r="M9" s="28">
        <v>0</v>
      </c>
      <c r="N9" s="15"/>
      <c r="O9" s="38">
        <f>M9+N9</f>
        <v>0</v>
      </c>
      <c r="P9" s="183">
        <f t="shared" si="4"/>
        <v>0</v>
      </c>
      <c r="Q9" s="28"/>
      <c r="R9" s="15"/>
      <c r="S9" s="38">
        <f>Q9+R9</f>
        <v>0</v>
      </c>
      <c r="T9" s="199">
        <f t="shared" si="6"/>
        <v>0</v>
      </c>
      <c r="U9" s="28"/>
      <c r="V9" s="15"/>
      <c r="W9" s="38">
        <f>U9+V9</f>
        <v>0</v>
      </c>
      <c r="X9" s="206">
        <f t="shared" si="8"/>
        <v>0</v>
      </c>
      <c r="Y9" s="28">
        <f>J9</f>
        <v>0</v>
      </c>
      <c r="Z9" s="15"/>
      <c r="AA9" s="38">
        <f>Y9+Z9</f>
        <v>0</v>
      </c>
      <c r="AB9" s="191">
        <f t="shared" si="10"/>
        <v>0</v>
      </c>
      <c r="AC9" s="319">
        <f t="shared" ref="AC9:AC13" si="15">L9-AA9</f>
        <v>100</v>
      </c>
      <c r="AD9" s="332">
        <v>100</v>
      </c>
      <c r="AE9" s="338"/>
      <c r="AF9" s="138">
        <f>AD9+AE9</f>
        <v>100</v>
      </c>
      <c r="AG9" s="191">
        <f t="shared" si="12"/>
        <v>100</v>
      </c>
      <c r="AH9" s="146"/>
      <c r="AI9" s="332" t="s">
        <v>68</v>
      </c>
      <c r="AJ9" s="351" t="s">
        <v>113</v>
      </c>
    </row>
    <row r="10" spans="1:36" x14ac:dyDescent="0.2">
      <c r="A10" s="43"/>
      <c r="B10" s="22">
        <v>2121</v>
      </c>
      <c r="C10" s="22">
        <v>237</v>
      </c>
      <c r="D10" s="57" t="s">
        <v>158</v>
      </c>
      <c r="E10" s="28">
        <v>358</v>
      </c>
      <c r="F10" s="15"/>
      <c r="G10" s="38">
        <f>E10+F10</f>
        <v>358</v>
      </c>
      <c r="H10" s="43"/>
      <c r="I10" s="57"/>
      <c r="J10" s="28">
        <f t="shared" si="13"/>
        <v>358</v>
      </c>
      <c r="K10" s="22">
        <f t="shared" si="14"/>
        <v>0</v>
      </c>
      <c r="L10" s="38">
        <f>SUM(J10:K10)</f>
        <v>358</v>
      </c>
      <c r="M10" s="28">
        <v>54.688160000000003</v>
      </c>
      <c r="N10" s="15"/>
      <c r="O10" s="38">
        <f>M10+N10</f>
        <v>54.688160000000003</v>
      </c>
      <c r="P10" s="183">
        <f t="shared" si="4"/>
        <v>15.276022346368718</v>
      </c>
      <c r="Q10" s="28">
        <v>86.925160000000005</v>
      </c>
      <c r="R10" s="15"/>
      <c r="S10" s="38">
        <f>Q10+R10</f>
        <v>86.925160000000005</v>
      </c>
      <c r="T10" s="199">
        <f t="shared" si="6"/>
        <v>24.280770949720672</v>
      </c>
      <c r="U10" s="28">
        <v>139.69596000000001</v>
      </c>
      <c r="V10" s="15"/>
      <c r="W10" s="38">
        <f>U10+V10</f>
        <v>139.69596000000001</v>
      </c>
      <c r="X10" s="206">
        <f t="shared" si="8"/>
        <v>39.021217877094976</v>
      </c>
      <c r="Y10" s="28">
        <f>147.04546+142.61</f>
        <v>289.65546000000001</v>
      </c>
      <c r="Z10" s="15"/>
      <c r="AA10" s="38">
        <f t="shared" ref="AA10:AA13" si="16">Y10+Z10</f>
        <v>289.65546000000001</v>
      </c>
      <c r="AB10" s="191">
        <f t="shared" si="10"/>
        <v>80.909346368715092</v>
      </c>
      <c r="AC10" s="319">
        <f t="shared" si="15"/>
        <v>68.344539999999995</v>
      </c>
      <c r="AD10" s="332">
        <v>450</v>
      </c>
      <c r="AE10" s="338"/>
      <c r="AF10" s="138">
        <f>AD10+AE10</f>
        <v>450</v>
      </c>
      <c r="AG10" s="191">
        <f t="shared" si="12"/>
        <v>125.69832402234637</v>
      </c>
      <c r="AH10" s="146"/>
      <c r="AI10" s="332" t="s">
        <v>68</v>
      </c>
      <c r="AJ10" s="351" t="s">
        <v>113</v>
      </c>
    </row>
    <row r="11" spans="1:36" x14ac:dyDescent="0.2">
      <c r="A11" s="43"/>
      <c r="B11" s="22">
        <v>2141</v>
      </c>
      <c r="C11" s="22">
        <v>101</v>
      </c>
      <c r="D11" s="57" t="s">
        <v>344</v>
      </c>
      <c r="E11" s="28">
        <v>80</v>
      </c>
      <c r="F11" s="15"/>
      <c r="G11" s="38">
        <f>E11+F11</f>
        <v>80</v>
      </c>
      <c r="H11" s="43"/>
      <c r="I11" s="57"/>
      <c r="J11" s="28">
        <f t="shared" si="13"/>
        <v>80</v>
      </c>
      <c r="K11" s="22">
        <f t="shared" si="14"/>
        <v>0</v>
      </c>
      <c r="L11" s="38">
        <f>SUM(J11:K11)</f>
        <v>80</v>
      </c>
      <c r="M11" s="28">
        <v>2.2561100000000001</v>
      </c>
      <c r="N11" s="15"/>
      <c r="O11" s="38">
        <f>M11+N11</f>
        <v>2.2561100000000001</v>
      </c>
      <c r="P11" s="183">
        <f t="shared" si="4"/>
        <v>2.8201375</v>
      </c>
      <c r="Q11" s="28">
        <v>41.67991</v>
      </c>
      <c r="R11" s="15"/>
      <c r="S11" s="38">
        <f>Q11+R11</f>
        <v>41.67991</v>
      </c>
      <c r="T11" s="199">
        <f t="shared" si="6"/>
        <v>52.099887499999994</v>
      </c>
      <c r="U11" s="28">
        <v>42.741689999999998</v>
      </c>
      <c r="V11" s="15"/>
      <c r="W11" s="38">
        <f>U11+V11</f>
        <v>42.741689999999998</v>
      </c>
      <c r="X11" s="206">
        <f t="shared" si="8"/>
        <v>53.427112499999993</v>
      </c>
      <c r="Y11" s="28">
        <v>48.562190000000001</v>
      </c>
      <c r="Z11" s="15"/>
      <c r="AA11" s="38">
        <f t="shared" si="16"/>
        <v>48.562190000000001</v>
      </c>
      <c r="AB11" s="191">
        <f t="shared" si="10"/>
        <v>60.702737500000005</v>
      </c>
      <c r="AC11" s="319">
        <f t="shared" si="15"/>
        <v>31.437809999999999</v>
      </c>
      <c r="AD11" s="332">
        <v>212</v>
      </c>
      <c r="AE11" s="338"/>
      <c r="AF11" s="138">
        <f>AD11+AE11</f>
        <v>212</v>
      </c>
      <c r="AG11" s="191">
        <f t="shared" si="12"/>
        <v>265</v>
      </c>
      <c r="AH11" s="146"/>
      <c r="AI11" s="332" t="s">
        <v>340</v>
      </c>
      <c r="AJ11" s="351" t="s">
        <v>113</v>
      </c>
    </row>
    <row r="12" spans="1:36" x14ac:dyDescent="0.2">
      <c r="A12" s="43"/>
      <c r="B12" s="22">
        <v>2144</v>
      </c>
      <c r="C12" s="22">
        <v>650</v>
      </c>
      <c r="D12" s="57" t="s">
        <v>154</v>
      </c>
      <c r="E12" s="28">
        <f>137+350</f>
        <v>487</v>
      </c>
      <c r="F12" s="15"/>
      <c r="G12" s="38">
        <f>E12+F12</f>
        <v>487</v>
      </c>
      <c r="H12" s="310">
        <v>90</v>
      </c>
      <c r="I12" s="57"/>
      <c r="J12" s="28">
        <f t="shared" si="13"/>
        <v>577</v>
      </c>
      <c r="K12" s="22"/>
      <c r="L12" s="38">
        <f>SUM(J12:K12)</f>
        <v>577</v>
      </c>
      <c r="M12" s="28">
        <v>27.877500000000001</v>
      </c>
      <c r="N12" s="15"/>
      <c r="O12" s="38">
        <f>M12+N12</f>
        <v>27.877500000000001</v>
      </c>
      <c r="P12" s="183">
        <f t="shared" si="4"/>
        <v>4.8314558058925474</v>
      </c>
      <c r="Q12" s="28">
        <v>99.411500000000004</v>
      </c>
      <c r="R12" s="15"/>
      <c r="S12" s="38">
        <f>Q12+R12</f>
        <v>99.411500000000004</v>
      </c>
      <c r="T12" s="199">
        <f t="shared" si="6"/>
        <v>17.229029462738303</v>
      </c>
      <c r="U12" s="28">
        <v>161.04028</v>
      </c>
      <c r="V12" s="15"/>
      <c r="W12" s="38">
        <f>U12+V12</f>
        <v>161.04028</v>
      </c>
      <c r="X12" s="206">
        <f t="shared" si="8"/>
        <v>27.909927209705369</v>
      </c>
      <c r="Y12" s="28">
        <v>178.46154000000001</v>
      </c>
      <c r="Z12" s="15"/>
      <c r="AA12" s="38">
        <f t="shared" si="16"/>
        <v>178.46154000000001</v>
      </c>
      <c r="AB12" s="191">
        <f t="shared" si="10"/>
        <v>30.929209705372617</v>
      </c>
      <c r="AC12" s="319">
        <f t="shared" si="15"/>
        <v>398.53845999999999</v>
      </c>
      <c r="AD12" s="332">
        <f>387+350</f>
        <v>737</v>
      </c>
      <c r="AE12" s="338"/>
      <c r="AF12" s="138">
        <f>AD12+AE12</f>
        <v>737</v>
      </c>
      <c r="AG12" s="191">
        <f t="shared" si="12"/>
        <v>151.33470225872691</v>
      </c>
      <c r="AH12" s="146" t="s">
        <v>366</v>
      </c>
      <c r="AI12" s="332" t="s">
        <v>441</v>
      </c>
      <c r="AJ12" s="351" t="s">
        <v>330</v>
      </c>
    </row>
    <row r="13" spans="1:36" x14ac:dyDescent="0.2">
      <c r="A13" s="43"/>
      <c r="B13" s="22">
        <v>2199</v>
      </c>
      <c r="C13" s="22">
        <v>912</v>
      </c>
      <c r="D13" s="57" t="s">
        <v>409</v>
      </c>
      <c r="E13" s="28">
        <v>200</v>
      </c>
      <c r="F13" s="15">
        <v>375</v>
      </c>
      <c r="G13" s="38">
        <f>E13+F13</f>
        <v>575</v>
      </c>
      <c r="H13" s="43"/>
      <c r="I13" s="57">
        <f>150+130+622+230</f>
        <v>1132</v>
      </c>
      <c r="J13" s="28">
        <f t="shared" si="13"/>
        <v>200</v>
      </c>
      <c r="K13" s="22">
        <f>F13+I13</f>
        <v>1507</v>
      </c>
      <c r="L13" s="38">
        <f>SUM(J13:K13)</f>
        <v>1707</v>
      </c>
      <c r="M13" s="28">
        <v>37.51</v>
      </c>
      <c r="N13" s="15">
        <v>70.47</v>
      </c>
      <c r="O13" s="38">
        <f>M13+N13</f>
        <v>107.97999999999999</v>
      </c>
      <c r="P13" s="183">
        <f t="shared" si="4"/>
        <v>6.3257176332747509</v>
      </c>
      <c r="Q13" s="28">
        <v>37.51</v>
      </c>
      <c r="R13" s="15">
        <v>70.47</v>
      </c>
      <c r="S13" s="38">
        <f>Q13+R13</f>
        <v>107.97999999999999</v>
      </c>
      <c r="T13" s="199">
        <f t="shared" si="6"/>
        <v>6.3257176332747509</v>
      </c>
      <c r="U13" s="28">
        <v>37.51</v>
      </c>
      <c r="V13" s="15">
        <v>70.47</v>
      </c>
      <c r="W13" s="38">
        <f>U13+V13</f>
        <v>107.97999999999999</v>
      </c>
      <c r="X13" s="206">
        <f t="shared" si="8"/>
        <v>6.3257176332747509</v>
      </c>
      <c r="Y13" s="28">
        <v>37.509999999999991</v>
      </c>
      <c r="Z13" s="15">
        <v>1318.9491</v>
      </c>
      <c r="AA13" s="38">
        <f t="shared" si="16"/>
        <v>1356.4591</v>
      </c>
      <c r="AB13" s="191">
        <f t="shared" si="10"/>
        <v>79.464504979496198</v>
      </c>
      <c r="AC13" s="319">
        <f t="shared" si="15"/>
        <v>350.54089999999997</v>
      </c>
      <c r="AD13" s="338">
        <v>698</v>
      </c>
      <c r="AE13" s="338"/>
      <c r="AF13" s="138">
        <f>AD13+AE13</f>
        <v>698</v>
      </c>
      <c r="AG13" s="191">
        <f t="shared" si="12"/>
        <v>121.39130434782608</v>
      </c>
      <c r="AH13" s="146"/>
      <c r="AI13" s="340" t="s">
        <v>254</v>
      </c>
      <c r="AJ13" s="579" t="s">
        <v>113</v>
      </c>
    </row>
    <row r="14" spans="1:36" x14ac:dyDescent="0.2">
      <c r="A14" s="75">
        <v>22</v>
      </c>
      <c r="B14" s="20"/>
      <c r="C14" s="20"/>
      <c r="D14" s="167" t="s">
        <v>70</v>
      </c>
      <c r="E14" s="165">
        <f>SUM(E15:E31)</f>
        <v>14445</v>
      </c>
      <c r="F14" s="40">
        <f>SUM(F15:F31)</f>
        <v>8767</v>
      </c>
      <c r="G14" s="41">
        <f>SUM(G16:G31)</f>
        <v>23212</v>
      </c>
      <c r="H14" s="39">
        <f t="shared" ref="H14:O14" si="17">SUM(H15:H31)</f>
        <v>-3461</v>
      </c>
      <c r="I14" s="41">
        <f t="shared" si="17"/>
        <v>7274</v>
      </c>
      <c r="J14" s="39">
        <f>SUM(J15:J31)</f>
        <v>10984</v>
      </c>
      <c r="K14" s="40">
        <f>SUM(K15:K31)</f>
        <v>16041</v>
      </c>
      <c r="L14" s="41">
        <f t="shared" si="17"/>
        <v>27025</v>
      </c>
      <c r="M14" s="39">
        <f t="shared" si="17"/>
        <v>2071.4263700000001</v>
      </c>
      <c r="N14" s="40">
        <f t="shared" si="17"/>
        <v>252.43019999999999</v>
      </c>
      <c r="O14" s="41">
        <f t="shared" si="17"/>
        <v>2323.8565700000004</v>
      </c>
      <c r="P14" s="184">
        <f t="shared" si="4"/>
        <v>8.598914227567068</v>
      </c>
      <c r="Q14" s="39">
        <f>SUM(Q15:Q31)</f>
        <v>4251.5515800000003</v>
      </c>
      <c r="R14" s="40">
        <f>SUM(R15:R31)</f>
        <v>4367.1017000000002</v>
      </c>
      <c r="S14" s="41">
        <f>SUM(S16:S31)</f>
        <v>8618.6532799999986</v>
      </c>
      <c r="T14" s="200">
        <f t="shared" si="6"/>
        <v>31.891408991674368</v>
      </c>
      <c r="U14" s="39">
        <f>SUM(U15:U31)</f>
        <v>5084.1173799999997</v>
      </c>
      <c r="V14" s="40">
        <f>SUM(V15:V31)</f>
        <v>9467.3597000000009</v>
      </c>
      <c r="W14" s="41">
        <f>SUM(W15:W31)</f>
        <v>14551.477080000001</v>
      </c>
      <c r="X14" s="207">
        <f t="shared" si="8"/>
        <v>53.844503533765028</v>
      </c>
      <c r="Y14" s="39">
        <f>SUM(Y15:Y31)</f>
        <v>7286.2016199999998</v>
      </c>
      <c r="Z14" s="40">
        <f>SUM(Z15:Z31)</f>
        <v>13522.0897</v>
      </c>
      <c r="AA14" s="41">
        <f>SUM(AA15:AA31)</f>
        <v>20808.291319999997</v>
      </c>
      <c r="AB14" s="385">
        <f t="shared" si="10"/>
        <v>76.996452617946332</v>
      </c>
      <c r="AC14" s="320">
        <f>SUM(AC15:AC31)</f>
        <v>6216.7086800000006</v>
      </c>
      <c r="AD14" s="336">
        <f>SUM(AD15:AD31)</f>
        <v>9990</v>
      </c>
      <c r="AE14" s="337">
        <f>SUM(AE15:AE31)</f>
        <v>26470</v>
      </c>
      <c r="AF14" s="174">
        <f>SUM(AF15:AF31)</f>
        <v>36460</v>
      </c>
      <c r="AG14" s="385">
        <f>AF14/$G14*100</f>
        <v>157.07392727899364</v>
      </c>
      <c r="AH14" s="147"/>
      <c r="AI14" s="342"/>
      <c r="AJ14" s="578"/>
    </row>
    <row r="15" spans="1:36" x14ac:dyDescent="0.2">
      <c r="A15" s="61"/>
      <c r="B15" s="22">
        <v>2212</v>
      </c>
      <c r="C15" s="215" t="s">
        <v>435</v>
      </c>
      <c r="D15" s="57" t="s">
        <v>434</v>
      </c>
      <c r="E15" s="28"/>
      <c r="F15" s="15"/>
      <c r="G15" s="38">
        <f t="shared" ref="G15" si="18">E15+F15</f>
        <v>0</v>
      </c>
      <c r="H15" s="43"/>
      <c r="I15" s="57"/>
      <c r="J15" s="28">
        <f t="shared" ref="J15:J31" si="19">E15+H15</f>
        <v>0</v>
      </c>
      <c r="K15" s="22"/>
      <c r="L15" s="38">
        <f t="shared" ref="L15:L31" si="20">SUM(J15:K15)</f>
        <v>0</v>
      </c>
      <c r="M15" s="28"/>
      <c r="N15" s="15"/>
      <c r="O15" s="38">
        <f t="shared" ref="O15" si="21">M15+N15</f>
        <v>0</v>
      </c>
      <c r="P15" s="183"/>
      <c r="Q15" s="28"/>
      <c r="R15" s="15"/>
      <c r="S15" s="38">
        <f>Q15+R15</f>
        <v>0</v>
      </c>
      <c r="T15" s="199" t="e">
        <f t="shared" si="6"/>
        <v>#DIV/0!</v>
      </c>
      <c r="U15" s="28"/>
      <c r="V15" s="15"/>
      <c r="W15" s="38">
        <f t="shared" ref="W15" si="22">U15+V15</f>
        <v>0</v>
      </c>
      <c r="X15" s="206" t="e">
        <f t="shared" si="8"/>
        <v>#DIV/0!</v>
      </c>
      <c r="Y15" s="28"/>
      <c r="Z15" s="15"/>
      <c r="AA15" s="38">
        <f t="shared" ref="AA15:AA31" si="23">Y15+Z15</f>
        <v>0</v>
      </c>
      <c r="AB15" s="191"/>
      <c r="AC15" s="319">
        <f t="shared" ref="AC15:AC31" si="24">L15-AA15</f>
        <v>0</v>
      </c>
      <c r="AD15" s="338"/>
      <c r="AE15" s="338">
        <f>22550+2000+200</f>
        <v>24750</v>
      </c>
      <c r="AF15" s="138">
        <f t="shared" ref="AF15" si="25">AD15+AE15</f>
        <v>24750</v>
      </c>
      <c r="AG15" s="191"/>
      <c r="AH15" s="178"/>
      <c r="AI15" s="332" t="s">
        <v>148</v>
      </c>
      <c r="AJ15" s="351" t="s">
        <v>113</v>
      </c>
    </row>
    <row r="16" spans="1:36" x14ac:dyDescent="0.2">
      <c r="A16" s="67"/>
      <c r="B16" s="22">
        <v>2212</v>
      </c>
      <c r="C16" s="22">
        <v>203</v>
      </c>
      <c r="D16" s="57" t="s">
        <v>317</v>
      </c>
      <c r="E16" s="28">
        <v>200</v>
      </c>
      <c r="F16" s="15">
        <v>0</v>
      </c>
      <c r="G16" s="38">
        <f t="shared" ref="G16:G29" si="26">E16+F16</f>
        <v>200</v>
      </c>
      <c r="H16" s="43"/>
      <c r="I16" s="57"/>
      <c r="J16" s="28">
        <f t="shared" si="19"/>
        <v>200</v>
      </c>
      <c r="K16" s="22">
        <f t="shared" ref="K16:K26" si="27">F16+I16</f>
        <v>0</v>
      </c>
      <c r="L16" s="38">
        <f t="shared" si="20"/>
        <v>200</v>
      </c>
      <c r="M16" s="28">
        <v>8.4700000000000006</v>
      </c>
      <c r="N16" s="15"/>
      <c r="O16" s="38">
        <f t="shared" ref="O16:O26" si="28">M16+N16</f>
        <v>8.4700000000000006</v>
      </c>
      <c r="P16" s="183"/>
      <c r="Q16" s="28">
        <v>8.4700000000000006</v>
      </c>
      <c r="R16" s="15"/>
      <c r="S16" s="38">
        <f t="shared" ref="S16:S26" si="29">Q16+R16</f>
        <v>8.4700000000000006</v>
      </c>
      <c r="T16" s="199">
        <f t="shared" si="6"/>
        <v>4.2350000000000003</v>
      </c>
      <c r="U16" s="28">
        <v>8.4700000000000006</v>
      </c>
      <c r="V16" s="15"/>
      <c r="W16" s="38">
        <f t="shared" ref="W16:W26" si="30">U16+V16</f>
        <v>8.4700000000000006</v>
      </c>
      <c r="X16" s="206">
        <f>W16/$L16*100</f>
        <v>4.2350000000000003</v>
      </c>
      <c r="Y16" s="28">
        <v>8.4700000000000006</v>
      </c>
      <c r="Z16" s="15"/>
      <c r="AA16" s="38">
        <f t="shared" si="23"/>
        <v>8.4700000000000006</v>
      </c>
      <c r="AB16" s="191">
        <f t="shared" ref="AB16:AB26" si="31">AA16/$L16*100</f>
        <v>4.2350000000000003</v>
      </c>
      <c r="AC16" s="319">
        <f t="shared" si="24"/>
        <v>191.53</v>
      </c>
      <c r="AD16" s="332">
        <v>100</v>
      </c>
      <c r="AE16" s="338"/>
      <c r="AF16" s="138">
        <f>AD16+AE16</f>
        <v>100</v>
      </c>
      <c r="AG16" s="191"/>
      <c r="AH16" s="146"/>
      <c r="AI16" s="332" t="s">
        <v>148</v>
      </c>
      <c r="AJ16" s="351" t="s">
        <v>113</v>
      </c>
    </row>
    <row r="17" spans="1:36" x14ac:dyDescent="0.2">
      <c r="A17" s="67"/>
      <c r="B17" s="22">
        <v>2212</v>
      </c>
      <c r="C17" s="22">
        <v>204</v>
      </c>
      <c r="D17" s="57" t="s">
        <v>118</v>
      </c>
      <c r="E17" s="15">
        <v>6200</v>
      </c>
      <c r="F17" s="15"/>
      <c r="G17" s="38">
        <f t="shared" si="26"/>
        <v>6200</v>
      </c>
      <c r="H17" s="43">
        <v>240</v>
      </c>
      <c r="I17" s="57"/>
      <c r="J17" s="28">
        <f t="shared" si="19"/>
        <v>6440</v>
      </c>
      <c r="K17" s="22">
        <f t="shared" si="27"/>
        <v>0</v>
      </c>
      <c r="L17" s="38">
        <f t="shared" si="20"/>
        <v>6440</v>
      </c>
      <c r="M17" s="28">
        <v>1842.47335</v>
      </c>
      <c r="N17" s="15"/>
      <c r="O17" s="38">
        <f t="shared" si="28"/>
        <v>1842.47335</v>
      </c>
      <c r="P17" s="183">
        <f>O17/$L17*100</f>
        <v>28.609834627329196</v>
      </c>
      <c r="Q17" s="28">
        <v>3490.8865999999998</v>
      </c>
      <c r="R17" s="15"/>
      <c r="S17" s="38">
        <f t="shared" si="29"/>
        <v>3490.8865999999998</v>
      </c>
      <c r="T17" s="199">
        <f t="shared" si="6"/>
        <v>54.206313664596273</v>
      </c>
      <c r="U17" s="28">
        <v>3868.55548</v>
      </c>
      <c r="V17" s="15"/>
      <c r="W17" s="38">
        <f t="shared" si="30"/>
        <v>3868.55548</v>
      </c>
      <c r="X17" s="206">
        <f>W17/$L17*100</f>
        <v>60.070737267080744</v>
      </c>
      <c r="Y17" s="28">
        <v>5453.4927100000004</v>
      </c>
      <c r="Z17" s="15"/>
      <c r="AA17" s="38">
        <f t="shared" si="23"/>
        <v>5453.4927100000004</v>
      </c>
      <c r="AB17" s="191">
        <f t="shared" si="31"/>
        <v>84.681563819875777</v>
      </c>
      <c r="AC17" s="319">
        <f t="shared" si="24"/>
        <v>986.50728999999956</v>
      </c>
      <c r="AD17" s="338">
        <f>3775+20+1900+9+50+50</f>
        <v>5804</v>
      </c>
      <c r="AE17" s="338"/>
      <c r="AF17" s="138">
        <f t="shared" ref="AF17:AF31" si="32">AD17+AE17</f>
        <v>5804</v>
      </c>
      <c r="AG17" s="191">
        <f>AF17/$G17*100</f>
        <v>93.612903225806448</v>
      </c>
      <c r="AH17" s="146"/>
      <c r="AI17" s="332" t="s">
        <v>181</v>
      </c>
      <c r="AJ17" s="351" t="s">
        <v>113</v>
      </c>
    </row>
    <row r="18" spans="1:36" x14ac:dyDescent="0.2">
      <c r="A18" s="67"/>
      <c r="B18" s="22">
        <v>2212</v>
      </c>
      <c r="C18" s="22">
        <v>206</v>
      </c>
      <c r="D18" s="57" t="s">
        <v>262</v>
      </c>
      <c r="E18" s="28">
        <v>100</v>
      </c>
      <c r="F18" s="15"/>
      <c r="G18" s="38">
        <f t="shared" si="26"/>
        <v>100</v>
      </c>
      <c r="H18" s="43"/>
      <c r="I18" s="57"/>
      <c r="J18" s="28">
        <f t="shared" si="19"/>
        <v>100</v>
      </c>
      <c r="K18" s="22">
        <f t="shared" si="27"/>
        <v>0</v>
      </c>
      <c r="L18" s="38">
        <f t="shared" si="20"/>
        <v>100</v>
      </c>
      <c r="M18" s="28">
        <v>0</v>
      </c>
      <c r="N18" s="15"/>
      <c r="O18" s="38">
        <f t="shared" si="28"/>
        <v>0</v>
      </c>
      <c r="P18" s="183">
        <f>O18/$L18*100</f>
        <v>0</v>
      </c>
      <c r="Q18" s="28"/>
      <c r="R18" s="15"/>
      <c r="S18" s="38">
        <f t="shared" si="29"/>
        <v>0</v>
      </c>
      <c r="T18" s="199">
        <f>S18/$L18*100</f>
        <v>0</v>
      </c>
      <c r="U18" s="28"/>
      <c r="V18" s="15"/>
      <c r="W18" s="38">
        <f t="shared" si="30"/>
        <v>0</v>
      </c>
      <c r="X18" s="206">
        <f>W18/$L18*100</f>
        <v>0</v>
      </c>
      <c r="Y18" s="28">
        <v>0</v>
      </c>
      <c r="Z18" s="15"/>
      <c r="AA18" s="38">
        <f t="shared" si="23"/>
        <v>0</v>
      </c>
      <c r="AB18" s="191">
        <f t="shared" si="31"/>
        <v>0</v>
      </c>
      <c r="AC18" s="319">
        <f t="shared" si="24"/>
        <v>100</v>
      </c>
      <c r="AD18" s="332">
        <v>150</v>
      </c>
      <c r="AE18" s="338"/>
      <c r="AF18" s="138">
        <f t="shared" si="32"/>
        <v>150</v>
      </c>
      <c r="AG18" s="191">
        <f>AF18/$G18*100</f>
        <v>150</v>
      </c>
      <c r="AH18" s="146" t="s">
        <v>309</v>
      </c>
      <c r="AI18" s="332" t="s">
        <v>254</v>
      </c>
      <c r="AJ18" s="351" t="s">
        <v>113</v>
      </c>
    </row>
    <row r="19" spans="1:36" x14ac:dyDescent="0.2">
      <c r="A19" s="67"/>
      <c r="B19" s="22">
        <v>2212</v>
      </c>
      <c r="C19" s="22">
        <v>217</v>
      </c>
      <c r="D19" s="57" t="s">
        <v>442</v>
      </c>
      <c r="E19" s="28">
        <v>150</v>
      </c>
      <c r="F19" s="15"/>
      <c r="G19" s="38">
        <f t="shared" si="26"/>
        <v>150</v>
      </c>
      <c r="H19" s="43"/>
      <c r="I19" s="57"/>
      <c r="J19" s="28">
        <f t="shared" si="19"/>
        <v>150</v>
      </c>
      <c r="K19" s="22">
        <f t="shared" si="27"/>
        <v>0</v>
      </c>
      <c r="L19" s="38">
        <f t="shared" si="20"/>
        <v>150</v>
      </c>
      <c r="M19" s="28">
        <v>0</v>
      </c>
      <c r="N19" s="15"/>
      <c r="O19" s="38">
        <f t="shared" si="28"/>
        <v>0</v>
      </c>
      <c r="P19" s="183">
        <f t="shared" ref="P19:P22" si="33">O19/$L19*100</f>
        <v>0</v>
      </c>
      <c r="Q19" s="28"/>
      <c r="R19" s="15"/>
      <c r="S19" s="38">
        <f t="shared" si="29"/>
        <v>0</v>
      </c>
      <c r="T19" s="199">
        <f t="shared" ref="T19:T24" si="34">S19/$L19*100</f>
        <v>0</v>
      </c>
      <c r="U19" s="28"/>
      <c r="V19" s="15"/>
      <c r="W19" s="38">
        <f t="shared" si="30"/>
        <v>0</v>
      </c>
      <c r="X19" s="206">
        <f>W19/$L19*100</f>
        <v>0</v>
      </c>
      <c r="Y19" s="28">
        <v>47.338999999999999</v>
      </c>
      <c r="Z19" s="15"/>
      <c r="AA19" s="38">
        <f t="shared" si="23"/>
        <v>47.338999999999999</v>
      </c>
      <c r="AB19" s="191">
        <f t="shared" si="31"/>
        <v>31.559333333333335</v>
      </c>
      <c r="AC19" s="319">
        <f t="shared" si="24"/>
        <v>102.661</v>
      </c>
      <c r="AD19" s="332">
        <v>150</v>
      </c>
      <c r="AE19" s="338"/>
      <c r="AF19" s="138">
        <f t="shared" si="32"/>
        <v>150</v>
      </c>
      <c r="AG19" s="191">
        <f>AF19/$G19*100</f>
        <v>100</v>
      </c>
      <c r="AH19" s="146" t="s">
        <v>367</v>
      </c>
      <c r="AI19" s="332" t="s">
        <v>148</v>
      </c>
      <c r="AJ19" s="351" t="s">
        <v>113</v>
      </c>
    </row>
    <row r="20" spans="1:36" x14ac:dyDescent="0.2">
      <c r="A20" s="67"/>
      <c r="B20" s="22">
        <v>2212</v>
      </c>
      <c r="C20" s="216" t="s">
        <v>413</v>
      </c>
      <c r="D20" s="57" t="s">
        <v>299</v>
      </c>
      <c r="E20" s="28"/>
      <c r="F20" s="10">
        <v>600</v>
      </c>
      <c r="G20" s="38">
        <f t="shared" si="26"/>
        <v>600</v>
      </c>
      <c r="H20" s="43"/>
      <c r="I20" s="57"/>
      <c r="J20" s="28">
        <f t="shared" si="19"/>
        <v>0</v>
      </c>
      <c r="K20" s="22">
        <f t="shared" si="27"/>
        <v>600</v>
      </c>
      <c r="L20" s="38">
        <f t="shared" si="20"/>
        <v>600</v>
      </c>
      <c r="M20" s="28">
        <v>0</v>
      </c>
      <c r="N20" s="15"/>
      <c r="O20" s="38">
        <f t="shared" si="28"/>
        <v>0</v>
      </c>
      <c r="P20" s="183">
        <f t="shared" si="33"/>
        <v>0</v>
      </c>
      <c r="Q20" s="28">
        <v>1.4374800000000001</v>
      </c>
      <c r="R20" s="15">
        <v>566</v>
      </c>
      <c r="S20" s="38">
        <f t="shared" si="29"/>
        <v>567.43748000000005</v>
      </c>
      <c r="T20" s="199">
        <f t="shared" si="34"/>
        <v>94.572913333333346</v>
      </c>
      <c r="U20" s="28">
        <v>1.4374800000000001</v>
      </c>
      <c r="V20" s="15">
        <v>566</v>
      </c>
      <c r="W20" s="38">
        <f t="shared" si="30"/>
        <v>567.43748000000005</v>
      </c>
      <c r="X20" s="206">
        <f>W20/$L20*100</f>
        <v>94.572913333333346</v>
      </c>
      <c r="Y20" s="28">
        <v>1.4374800000000001</v>
      </c>
      <c r="Z20" s="15">
        <v>566</v>
      </c>
      <c r="AA20" s="38">
        <f t="shared" si="23"/>
        <v>567.43748000000005</v>
      </c>
      <c r="AB20" s="191">
        <f t="shared" si="31"/>
        <v>94.572913333333346</v>
      </c>
      <c r="AC20" s="319">
        <f t="shared" si="24"/>
        <v>32.56251999999995</v>
      </c>
      <c r="AD20" s="332"/>
      <c r="AE20" s="339"/>
      <c r="AF20" s="138">
        <f t="shared" si="32"/>
        <v>0</v>
      </c>
      <c r="AG20" s="191">
        <f>AF20/$G20*100</f>
        <v>0</v>
      </c>
      <c r="AH20" s="146"/>
      <c r="AI20" s="332" t="s">
        <v>148</v>
      </c>
      <c r="AJ20" s="351" t="s">
        <v>113</v>
      </c>
    </row>
    <row r="21" spans="1:36" x14ac:dyDescent="0.2">
      <c r="A21" s="67"/>
      <c r="B21" s="22">
        <v>2212</v>
      </c>
      <c r="C21" s="217">
        <v>231</v>
      </c>
      <c r="D21" s="57" t="s">
        <v>443</v>
      </c>
      <c r="E21" s="28"/>
      <c r="F21" s="15">
        <v>250</v>
      </c>
      <c r="G21" s="38">
        <f t="shared" si="26"/>
        <v>250</v>
      </c>
      <c r="H21" s="43"/>
      <c r="I21" s="57">
        <v>370</v>
      </c>
      <c r="J21" s="28">
        <f t="shared" si="19"/>
        <v>0</v>
      </c>
      <c r="K21" s="22">
        <f t="shared" si="27"/>
        <v>620</v>
      </c>
      <c r="L21" s="38">
        <f t="shared" si="20"/>
        <v>620</v>
      </c>
      <c r="M21" s="28">
        <v>0</v>
      </c>
      <c r="N21" s="15"/>
      <c r="O21" s="38">
        <f t="shared" ref="O21:O22" si="35">M21+N21</f>
        <v>0</v>
      </c>
      <c r="P21" s="183">
        <f t="shared" si="33"/>
        <v>0</v>
      </c>
      <c r="Q21" s="28"/>
      <c r="R21" s="15"/>
      <c r="S21" s="38">
        <f t="shared" ref="S21:S22" si="36">Q21+R21</f>
        <v>0</v>
      </c>
      <c r="T21" s="199">
        <f t="shared" si="34"/>
        <v>0</v>
      </c>
      <c r="U21" s="28"/>
      <c r="V21" s="15"/>
      <c r="W21" s="38"/>
      <c r="X21" s="206"/>
      <c r="Y21" s="28">
        <v>0</v>
      </c>
      <c r="Z21" s="15"/>
      <c r="AA21" s="38">
        <f t="shared" si="23"/>
        <v>0</v>
      </c>
      <c r="AB21" s="191"/>
      <c r="AC21" s="319">
        <f t="shared" si="24"/>
        <v>620</v>
      </c>
      <c r="AD21" s="332"/>
      <c r="AE21" s="338">
        <v>600</v>
      </c>
      <c r="AF21" s="138">
        <f t="shared" si="32"/>
        <v>600</v>
      </c>
      <c r="AG21" s="191">
        <f t="shared" ref="AG21:AG30" si="37">AF21/$G21*100</f>
        <v>240</v>
      </c>
      <c r="AH21" s="146"/>
      <c r="AI21" s="332" t="s">
        <v>148</v>
      </c>
      <c r="AJ21" s="351" t="s">
        <v>113</v>
      </c>
    </row>
    <row r="22" spans="1:36" x14ac:dyDescent="0.2">
      <c r="A22" s="67"/>
      <c r="B22" s="22">
        <v>2212</v>
      </c>
      <c r="C22" s="215" t="s">
        <v>412</v>
      </c>
      <c r="D22" s="57" t="s">
        <v>397</v>
      </c>
      <c r="E22" s="28">
        <f>5000+500</f>
        <v>5500</v>
      </c>
      <c r="F22" s="15">
        <f>2500+3000</f>
        <v>5500</v>
      </c>
      <c r="G22" s="38">
        <f t="shared" si="26"/>
        <v>11000</v>
      </c>
      <c r="H22" s="43">
        <v>-5000</v>
      </c>
      <c r="I22" s="57">
        <f>5000+1803</f>
        <v>6803</v>
      </c>
      <c r="J22" s="28">
        <f t="shared" si="19"/>
        <v>500</v>
      </c>
      <c r="K22" s="22">
        <f t="shared" ref="K22" si="38">F22+I22</f>
        <v>12303</v>
      </c>
      <c r="L22" s="38">
        <f t="shared" si="20"/>
        <v>12803</v>
      </c>
      <c r="M22" s="28">
        <v>0</v>
      </c>
      <c r="N22" s="15">
        <v>166.61699999999999</v>
      </c>
      <c r="O22" s="38">
        <f t="shared" si="35"/>
        <v>166.61699999999999</v>
      </c>
      <c r="P22" s="183">
        <f t="shared" si="33"/>
        <v>1.301390299148637</v>
      </c>
      <c r="Q22" s="28">
        <v>144.78</v>
      </c>
      <c r="R22" s="15">
        <f>614.314+3000</f>
        <v>3614.3139999999999</v>
      </c>
      <c r="S22" s="38">
        <f t="shared" si="36"/>
        <v>3759.0940000000001</v>
      </c>
      <c r="T22" s="199">
        <f t="shared" si="34"/>
        <v>29.361040381160663</v>
      </c>
      <c r="U22" s="28">
        <f>181.41+10</f>
        <v>191.41</v>
      </c>
      <c r="V22" s="15">
        <f>919.04+7795.532</f>
        <v>8714.5720000000001</v>
      </c>
      <c r="W22" s="38">
        <f t="shared" ref="W22:W24" si="39">U22+V22</f>
        <v>8905.982</v>
      </c>
      <c r="X22" s="206">
        <f t="shared" ref="X22:X24" si="40">W22/$L22*100</f>
        <v>69.561680856049364</v>
      </c>
      <c r="Y22" s="28">
        <f>10+299.99</f>
        <v>309.99</v>
      </c>
      <c r="Z22" s="15">
        <f>4061.815+7795.532</f>
        <v>11857.347</v>
      </c>
      <c r="AA22" s="38">
        <f t="shared" si="23"/>
        <v>12167.337</v>
      </c>
      <c r="AB22" s="191">
        <f t="shared" si="31"/>
        <v>95.03504647348278</v>
      </c>
      <c r="AC22" s="319">
        <f t="shared" si="24"/>
        <v>635.66300000000047</v>
      </c>
      <c r="AD22" s="332"/>
      <c r="AE22" s="338"/>
      <c r="AF22" s="138">
        <f t="shared" si="32"/>
        <v>0</v>
      </c>
      <c r="AG22" s="191">
        <f t="shared" si="37"/>
        <v>0</v>
      </c>
      <c r="AH22" s="178"/>
      <c r="AI22" s="332" t="s">
        <v>148</v>
      </c>
      <c r="AJ22" s="351" t="s">
        <v>113</v>
      </c>
    </row>
    <row r="23" spans="1:36" x14ac:dyDescent="0.2">
      <c r="A23" s="67"/>
      <c r="B23" s="22">
        <v>2219</v>
      </c>
      <c r="C23" s="22">
        <v>39</v>
      </c>
      <c r="D23" s="57" t="s">
        <v>321</v>
      </c>
      <c r="E23" s="28"/>
      <c r="F23" s="15">
        <v>700</v>
      </c>
      <c r="G23" s="38">
        <f t="shared" si="26"/>
        <v>700</v>
      </c>
      <c r="H23" s="43"/>
      <c r="I23" s="57"/>
      <c r="J23" s="28">
        <f t="shared" si="19"/>
        <v>0</v>
      </c>
      <c r="K23" s="22">
        <f t="shared" si="27"/>
        <v>700</v>
      </c>
      <c r="L23" s="38">
        <f t="shared" si="20"/>
        <v>700</v>
      </c>
      <c r="M23" s="28">
        <v>0</v>
      </c>
      <c r="N23" s="15"/>
      <c r="O23" s="38">
        <f t="shared" si="28"/>
        <v>0</v>
      </c>
      <c r="P23" s="183"/>
      <c r="Q23" s="28"/>
      <c r="R23" s="15"/>
      <c r="S23" s="38">
        <f t="shared" si="29"/>
        <v>0</v>
      </c>
      <c r="T23" s="199">
        <f t="shared" si="34"/>
        <v>0</v>
      </c>
      <c r="U23" s="28"/>
      <c r="V23" s="15"/>
      <c r="W23" s="38">
        <f t="shared" si="39"/>
        <v>0</v>
      </c>
      <c r="X23" s="206">
        <f t="shared" si="40"/>
        <v>0</v>
      </c>
      <c r="Y23" s="28">
        <v>0</v>
      </c>
      <c r="Z23" s="15"/>
      <c r="AA23" s="38">
        <f t="shared" si="23"/>
        <v>0</v>
      </c>
      <c r="AB23" s="191">
        <f t="shared" si="31"/>
        <v>0</v>
      </c>
      <c r="AC23" s="319">
        <f t="shared" si="24"/>
        <v>700</v>
      </c>
      <c r="AD23" s="332"/>
      <c r="AE23" s="338">
        <v>700</v>
      </c>
      <c r="AF23" s="138">
        <f t="shared" si="32"/>
        <v>700</v>
      </c>
      <c r="AG23" s="191">
        <f t="shared" si="37"/>
        <v>100</v>
      </c>
      <c r="AH23" s="146"/>
      <c r="AI23" s="332" t="s">
        <v>254</v>
      </c>
      <c r="AJ23" s="351" t="s">
        <v>113</v>
      </c>
    </row>
    <row r="24" spans="1:36" x14ac:dyDescent="0.2">
      <c r="A24" s="67"/>
      <c r="B24" s="22">
        <v>2219</v>
      </c>
      <c r="C24" s="22">
        <v>43</v>
      </c>
      <c r="D24" s="57" t="s">
        <v>116</v>
      </c>
      <c r="E24" s="28">
        <v>32</v>
      </c>
      <c r="F24" s="15"/>
      <c r="G24" s="38">
        <f t="shared" si="26"/>
        <v>32</v>
      </c>
      <c r="H24" s="43"/>
      <c r="I24" s="57"/>
      <c r="J24" s="28">
        <f t="shared" si="19"/>
        <v>32</v>
      </c>
      <c r="K24" s="22">
        <f t="shared" si="27"/>
        <v>0</v>
      </c>
      <c r="L24" s="38">
        <f t="shared" si="20"/>
        <v>32</v>
      </c>
      <c r="M24" s="28">
        <v>2.3231999999999999</v>
      </c>
      <c r="N24" s="15"/>
      <c r="O24" s="38">
        <f t="shared" si="28"/>
        <v>2.3231999999999999</v>
      </c>
      <c r="P24" s="183">
        <f>O24/$L24*100</f>
        <v>7.26</v>
      </c>
      <c r="Q24" s="28">
        <v>9.2323000000000004</v>
      </c>
      <c r="R24" s="15"/>
      <c r="S24" s="38">
        <f t="shared" si="29"/>
        <v>9.2323000000000004</v>
      </c>
      <c r="T24" s="199">
        <f t="shared" si="34"/>
        <v>28.850937500000001</v>
      </c>
      <c r="U24" s="28">
        <v>9.2323000000000004</v>
      </c>
      <c r="V24" s="15"/>
      <c r="W24" s="38">
        <f t="shared" si="39"/>
        <v>9.2323000000000004</v>
      </c>
      <c r="X24" s="206">
        <f t="shared" si="40"/>
        <v>28.850937500000001</v>
      </c>
      <c r="Y24" s="28">
        <v>22.894410000000001</v>
      </c>
      <c r="Z24" s="15"/>
      <c r="AA24" s="38">
        <f t="shared" si="23"/>
        <v>22.894410000000001</v>
      </c>
      <c r="AB24" s="191">
        <f t="shared" si="31"/>
        <v>71.545031250000008</v>
      </c>
      <c r="AC24" s="319">
        <f t="shared" si="24"/>
        <v>9.1055899999999994</v>
      </c>
      <c r="AD24" s="332">
        <v>33</v>
      </c>
      <c r="AE24" s="338"/>
      <c r="AF24" s="138">
        <f t="shared" si="32"/>
        <v>33</v>
      </c>
      <c r="AG24" s="191">
        <f t="shared" si="37"/>
        <v>103.125</v>
      </c>
      <c r="AH24" s="146" t="s">
        <v>446</v>
      </c>
      <c r="AI24" s="332" t="s">
        <v>147</v>
      </c>
      <c r="AJ24" s="583" t="s">
        <v>441</v>
      </c>
    </row>
    <row r="25" spans="1:36" x14ac:dyDescent="0.2">
      <c r="A25" s="67"/>
      <c r="B25" s="22">
        <v>2219</v>
      </c>
      <c r="C25" s="22">
        <v>46</v>
      </c>
      <c r="D25" s="57" t="s">
        <v>364</v>
      </c>
      <c r="E25" s="28"/>
      <c r="F25" s="15">
        <v>100</v>
      </c>
      <c r="G25" s="38">
        <f t="shared" si="26"/>
        <v>100</v>
      </c>
      <c r="H25" s="43"/>
      <c r="I25" s="57"/>
      <c r="J25" s="28">
        <f t="shared" si="19"/>
        <v>0</v>
      </c>
      <c r="K25" s="22">
        <f t="shared" si="27"/>
        <v>100</v>
      </c>
      <c r="L25" s="38">
        <f t="shared" si="20"/>
        <v>100</v>
      </c>
      <c r="M25" s="28">
        <v>0</v>
      </c>
      <c r="N25" s="15"/>
      <c r="O25" s="38">
        <f t="shared" si="28"/>
        <v>0</v>
      </c>
      <c r="P25" s="183">
        <f>O25/$L25*100</f>
        <v>0</v>
      </c>
      <c r="Q25" s="28"/>
      <c r="R25" s="15"/>
      <c r="S25" s="38">
        <f t="shared" si="29"/>
        <v>0</v>
      </c>
      <c r="T25" s="199">
        <f>S25/$L25*100</f>
        <v>0</v>
      </c>
      <c r="U25" s="28"/>
      <c r="V25" s="15"/>
      <c r="W25" s="38">
        <f t="shared" si="30"/>
        <v>0</v>
      </c>
      <c r="X25" s="206">
        <f>W25/$L25*100</f>
        <v>0</v>
      </c>
      <c r="Y25" s="28"/>
      <c r="Z25" s="15">
        <v>25</v>
      </c>
      <c r="AA25" s="38">
        <f t="shared" si="23"/>
        <v>25</v>
      </c>
      <c r="AB25" s="191">
        <f t="shared" si="31"/>
        <v>25</v>
      </c>
      <c r="AC25" s="319">
        <f t="shared" si="24"/>
        <v>75</v>
      </c>
      <c r="AD25" s="332"/>
      <c r="AE25" s="338">
        <v>220</v>
      </c>
      <c r="AF25" s="138">
        <f t="shared" si="32"/>
        <v>220</v>
      </c>
      <c r="AG25" s="191">
        <f t="shared" si="37"/>
        <v>220.00000000000003</v>
      </c>
      <c r="AH25" s="146"/>
      <c r="AI25" s="332" t="s">
        <v>254</v>
      </c>
      <c r="AJ25" s="351" t="s">
        <v>113</v>
      </c>
    </row>
    <row r="26" spans="1:36" x14ac:dyDescent="0.2">
      <c r="A26" s="67"/>
      <c r="B26" s="22">
        <v>2219</v>
      </c>
      <c r="C26" s="22">
        <v>49</v>
      </c>
      <c r="D26" s="57" t="s">
        <v>305</v>
      </c>
      <c r="E26" s="28">
        <v>135</v>
      </c>
      <c r="F26" s="15"/>
      <c r="G26" s="38">
        <f t="shared" si="26"/>
        <v>135</v>
      </c>
      <c r="H26" s="43"/>
      <c r="I26" s="57"/>
      <c r="J26" s="28">
        <f t="shared" si="19"/>
        <v>135</v>
      </c>
      <c r="K26" s="22">
        <f t="shared" si="27"/>
        <v>0</v>
      </c>
      <c r="L26" s="38">
        <f t="shared" si="20"/>
        <v>135</v>
      </c>
      <c r="M26" s="28">
        <v>0</v>
      </c>
      <c r="N26" s="15"/>
      <c r="O26" s="38">
        <f t="shared" si="28"/>
        <v>0</v>
      </c>
      <c r="P26" s="183">
        <f t="shared" ref="P26:P30" si="41">O26/$L26*100</f>
        <v>0</v>
      </c>
      <c r="Q26" s="28"/>
      <c r="R26" s="15"/>
      <c r="S26" s="38">
        <f t="shared" si="29"/>
        <v>0</v>
      </c>
      <c r="T26" s="199">
        <f>S26/$L26*100</f>
        <v>0</v>
      </c>
      <c r="U26" s="28"/>
      <c r="V26" s="15"/>
      <c r="W26" s="38">
        <f t="shared" si="30"/>
        <v>0</v>
      </c>
      <c r="X26" s="206">
        <f>W26/$L26*100</f>
        <v>0</v>
      </c>
      <c r="Y26" s="28"/>
      <c r="Z26" s="15"/>
      <c r="AA26" s="38">
        <f t="shared" si="23"/>
        <v>0</v>
      </c>
      <c r="AB26" s="191">
        <f t="shared" si="31"/>
        <v>0</v>
      </c>
      <c r="AC26" s="319">
        <f t="shared" si="24"/>
        <v>135</v>
      </c>
      <c r="AD26" s="332">
        <v>135</v>
      </c>
      <c r="AE26" s="338"/>
      <c r="AF26" s="138">
        <f t="shared" si="32"/>
        <v>135</v>
      </c>
      <c r="AG26" s="191">
        <f t="shared" si="37"/>
        <v>100</v>
      </c>
      <c r="AH26" s="146"/>
      <c r="AI26" s="332" t="s">
        <v>254</v>
      </c>
      <c r="AJ26" s="351" t="s">
        <v>113</v>
      </c>
    </row>
    <row r="27" spans="1:36" x14ac:dyDescent="0.2">
      <c r="A27" s="67"/>
      <c r="B27" s="22">
        <v>2219</v>
      </c>
      <c r="C27" s="22">
        <v>52</v>
      </c>
      <c r="D27" s="57" t="s">
        <v>578</v>
      </c>
      <c r="E27" s="28">
        <v>0</v>
      </c>
      <c r="F27" s="15">
        <v>200</v>
      </c>
      <c r="G27" s="38">
        <f t="shared" si="26"/>
        <v>200</v>
      </c>
      <c r="H27" s="43"/>
      <c r="I27" s="57"/>
      <c r="J27" s="28">
        <f t="shared" si="19"/>
        <v>0</v>
      </c>
      <c r="K27" s="22">
        <f t="shared" ref="K27:K29" si="42">F27+I27</f>
        <v>200</v>
      </c>
      <c r="L27" s="38">
        <f t="shared" si="20"/>
        <v>200</v>
      </c>
      <c r="M27" s="28">
        <v>0</v>
      </c>
      <c r="N27" s="15"/>
      <c r="O27" s="38">
        <f t="shared" ref="O27:O29" si="43">M27+N27</f>
        <v>0</v>
      </c>
      <c r="P27" s="183">
        <f t="shared" ref="P27:P29" si="44">O27/$L27*100</f>
        <v>0</v>
      </c>
      <c r="Q27" s="28"/>
      <c r="R27" s="15"/>
      <c r="S27" s="38">
        <f t="shared" ref="S27:S29" si="45">Q27+R27</f>
        <v>0</v>
      </c>
      <c r="T27" s="199">
        <f t="shared" ref="T27:T29" si="46">S27/$L27*100</f>
        <v>0</v>
      </c>
      <c r="U27" s="28"/>
      <c r="V27" s="15"/>
      <c r="W27" s="38">
        <f t="shared" ref="W27:W29" si="47">U27+V27</f>
        <v>0</v>
      </c>
      <c r="X27" s="206">
        <f t="shared" ref="X27:X29" si="48">W27/$L27*100</f>
        <v>0</v>
      </c>
      <c r="Y27" s="28">
        <v>0</v>
      </c>
      <c r="Z27" s="15"/>
      <c r="AA27" s="38">
        <f t="shared" si="23"/>
        <v>0</v>
      </c>
      <c r="AB27" s="191">
        <f t="shared" ref="AB27:AB29" si="49">AA27/$L27*100</f>
        <v>0</v>
      </c>
      <c r="AC27" s="319">
        <f t="shared" si="24"/>
        <v>200</v>
      </c>
      <c r="AD27" s="332"/>
      <c r="AE27" s="338">
        <v>200</v>
      </c>
      <c r="AF27" s="138">
        <f t="shared" si="32"/>
        <v>200</v>
      </c>
      <c r="AG27" s="191">
        <f t="shared" si="37"/>
        <v>100</v>
      </c>
      <c r="AH27" s="146"/>
      <c r="AI27" s="332" t="s">
        <v>254</v>
      </c>
      <c r="AJ27" s="351" t="s">
        <v>113</v>
      </c>
    </row>
    <row r="28" spans="1:36" x14ac:dyDescent="0.2">
      <c r="A28" s="67"/>
      <c r="B28" s="22">
        <v>2221</v>
      </c>
      <c r="C28" s="22">
        <v>199</v>
      </c>
      <c r="D28" s="57" t="s">
        <v>410</v>
      </c>
      <c r="E28" s="28">
        <v>0</v>
      </c>
      <c r="F28" s="15">
        <v>0</v>
      </c>
      <c r="G28" s="38">
        <f t="shared" ref="G28" si="50">E28+F28</f>
        <v>0</v>
      </c>
      <c r="H28" s="43">
        <v>1400</v>
      </c>
      <c r="I28" s="57"/>
      <c r="J28" s="28">
        <f t="shared" si="19"/>
        <v>1400</v>
      </c>
      <c r="K28" s="22">
        <f t="shared" ref="K28" si="51">F28+I28</f>
        <v>0</v>
      </c>
      <c r="L28" s="38">
        <f t="shared" si="20"/>
        <v>1400</v>
      </c>
      <c r="M28" s="28">
        <v>0</v>
      </c>
      <c r="N28" s="15"/>
      <c r="O28" s="38">
        <f t="shared" ref="O28" si="52">M28+N28</f>
        <v>0</v>
      </c>
      <c r="P28" s="183">
        <f t="shared" si="44"/>
        <v>0</v>
      </c>
      <c r="Q28" s="28"/>
      <c r="R28" s="15"/>
      <c r="S28" s="38">
        <f t="shared" ref="S28" si="53">Q28+R28</f>
        <v>0</v>
      </c>
      <c r="T28" s="199">
        <f t="shared" si="46"/>
        <v>0</v>
      </c>
      <c r="U28" s="28"/>
      <c r="V28" s="15"/>
      <c r="W28" s="38">
        <f t="shared" ref="W28" si="54">U28+V28</f>
        <v>0</v>
      </c>
      <c r="X28" s="206">
        <f t="shared" si="48"/>
        <v>0</v>
      </c>
      <c r="Y28" s="28">
        <v>0</v>
      </c>
      <c r="Z28" s="15"/>
      <c r="AA28" s="38">
        <f t="shared" si="23"/>
        <v>0</v>
      </c>
      <c r="AB28" s="191">
        <f t="shared" si="49"/>
        <v>0</v>
      </c>
      <c r="AC28" s="319">
        <f t="shared" si="24"/>
        <v>1400</v>
      </c>
      <c r="AD28" s="332">
        <f>200+1400</f>
        <v>1600</v>
      </c>
      <c r="AE28" s="338"/>
      <c r="AF28" s="138">
        <f t="shared" si="32"/>
        <v>1600</v>
      </c>
      <c r="AG28" s="191"/>
      <c r="AH28" s="146"/>
      <c r="AI28" s="332" t="s">
        <v>68</v>
      </c>
      <c r="AJ28" s="351" t="s">
        <v>113</v>
      </c>
    </row>
    <row r="29" spans="1:36" x14ac:dyDescent="0.2">
      <c r="A29" s="67"/>
      <c r="B29" s="22">
        <v>2223</v>
      </c>
      <c r="C29" s="22">
        <v>36</v>
      </c>
      <c r="D29" s="57" t="s">
        <v>348</v>
      </c>
      <c r="E29" s="28">
        <f>730+641+239</f>
        <v>1610</v>
      </c>
      <c r="F29" s="15">
        <f>766+405+246</f>
        <v>1417</v>
      </c>
      <c r="G29" s="38">
        <f t="shared" si="26"/>
        <v>3027</v>
      </c>
      <c r="H29" s="43">
        <v>-101</v>
      </c>
      <c r="I29" s="57">
        <v>101</v>
      </c>
      <c r="J29" s="28">
        <f t="shared" si="19"/>
        <v>1509</v>
      </c>
      <c r="K29" s="22">
        <f t="shared" si="42"/>
        <v>1518</v>
      </c>
      <c r="L29" s="38">
        <f t="shared" si="20"/>
        <v>3027</v>
      </c>
      <c r="M29" s="28">
        <f>69.46792+27.3944</f>
        <v>96.862320000000011</v>
      </c>
      <c r="N29" s="15">
        <v>85.813199999999995</v>
      </c>
      <c r="O29" s="38">
        <f t="shared" si="43"/>
        <v>182.67552000000001</v>
      </c>
      <c r="P29" s="183">
        <f t="shared" si="44"/>
        <v>6.0348701684836481</v>
      </c>
      <c r="Q29" s="28">
        <v>322.92520000000002</v>
      </c>
      <c r="R29" s="15">
        <f>85.8132+100.9745</f>
        <v>186.7877</v>
      </c>
      <c r="S29" s="38">
        <f t="shared" si="45"/>
        <v>509.71289999999999</v>
      </c>
      <c r="T29" s="199">
        <f t="shared" si="46"/>
        <v>16.838880079286422</v>
      </c>
      <c r="U29" s="28">
        <v>609.89462000000003</v>
      </c>
      <c r="V29" s="15">
        <f>100.9745+85.8132</f>
        <v>186.7877</v>
      </c>
      <c r="W29" s="38">
        <f t="shared" si="47"/>
        <v>796.68232</v>
      </c>
      <c r="X29" s="206">
        <f t="shared" si="48"/>
        <v>26.319204492897256</v>
      </c>
      <c r="Y29" s="28">
        <f>283.16302+643</f>
        <v>926.16301999999996</v>
      </c>
      <c r="Z29" s="15">
        <f>100.9745+972.7682</f>
        <v>1073.7427</v>
      </c>
      <c r="AA29" s="38">
        <f t="shared" si="23"/>
        <v>1999.90572</v>
      </c>
      <c r="AB29" s="191">
        <f t="shared" si="49"/>
        <v>66.068903865213073</v>
      </c>
      <c r="AC29" s="319">
        <f t="shared" si="24"/>
        <v>1027.09428</v>
      </c>
      <c r="AD29" s="338">
        <f>1123+380</f>
        <v>1503</v>
      </c>
      <c r="AE29" s="338"/>
      <c r="AF29" s="138">
        <f t="shared" si="32"/>
        <v>1503</v>
      </c>
      <c r="AG29" s="191">
        <f t="shared" si="37"/>
        <v>49.653121902874133</v>
      </c>
      <c r="AH29" s="146"/>
      <c r="AI29" s="332" t="s">
        <v>441</v>
      </c>
      <c r="AJ29" s="351" t="s">
        <v>357</v>
      </c>
    </row>
    <row r="30" spans="1:36" x14ac:dyDescent="0.2">
      <c r="A30" s="67"/>
      <c r="B30" s="22">
        <v>2292</v>
      </c>
      <c r="C30" s="22">
        <v>204</v>
      </c>
      <c r="D30" s="57" t="s">
        <v>114</v>
      </c>
      <c r="E30" s="28">
        <v>486</v>
      </c>
      <c r="F30" s="15"/>
      <c r="G30" s="38">
        <f t="shared" ref="G30:G31" si="55">E30+F30</f>
        <v>486</v>
      </c>
      <c r="H30" s="43"/>
      <c r="I30" s="57"/>
      <c r="J30" s="28">
        <f t="shared" si="19"/>
        <v>486</v>
      </c>
      <c r="K30" s="22">
        <f t="shared" ref="K30" si="56">F30+I30</f>
        <v>0</v>
      </c>
      <c r="L30" s="38">
        <f t="shared" si="20"/>
        <v>486</v>
      </c>
      <c r="M30" s="28">
        <v>121.2975</v>
      </c>
      <c r="N30" s="15"/>
      <c r="O30" s="38">
        <f t="shared" ref="O30:O31" si="57">M30+N30</f>
        <v>121.2975</v>
      </c>
      <c r="P30" s="183">
        <f t="shared" si="41"/>
        <v>24.958333333333332</v>
      </c>
      <c r="Q30" s="28">
        <v>242.595</v>
      </c>
      <c r="R30" s="15"/>
      <c r="S30" s="38">
        <f t="shared" ref="S30:S31" si="58">Q30+R30</f>
        <v>242.595</v>
      </c>
      <c r="T30" s="199">
        <f t="shared" ref="T30:T31" si="59">S30/$L30*100</f>
        <v>49.916666666666664</v>
      </c>
      <c r="U30" s="28">
        <v>363.89249999999998</v>
      </c>
      <c r="V30" s="15"/>
      <c r="W30" s="38">
        <f t="shared" ref="W30:W31" si="60">U30+V30</f>
        <v>363.89249999999998</v>
      </c>
      <c r="X30" s="206">
        <f t="shared" ref="X30" si="61">W30/$L30*100</f>
        <v>74.874999999999986</v>
      </c>
      <c r="Y30" s="28">
        <v>485.19</v>
      </c>
      <c r="Z30" s="15"/>
      <c r="AA30" s="38">
        <f t="shared" si="23"/>
        <v>485.19</v>
      </c>
      <c r="AB30" s="191">
        <f t="shared" ref="AB30:AB31" si="62">AA30/$L30*100</f>
        <v>99.833333333333329</v>
      </c>
      <c r="AC30" s="319">
        <f t="shared" si="24"/>
        <v>0.81000000000000227</v>
      </c>
      <c r="AD30" s="332">
        <v>486</v>
      </c>
      <c r="AE30" s="338"/>
      <c r="AF30" s="138">
        <f t="shared" si="32"/>
        <v>486</v>
      </c>
      <c r="AG30" s="191">
        <f t="shared" si="37"/>
        <v>100</v>
      </c>
      <c r="AH30" s="146" t="s">
        <v>398</v>
      </c>
      <c r="AI30" s="544" t="s">
        <v>182</v>
      </c>
      <c r="AJ30" s="351" t="s">
        <v>355</v>
      </c>
    </row>
    <row r="31" spans="1:36" s="117" customFormat="1" ht="12" x14ac:dyDescent="0.2">
      <c r="A31" s="116"/>
      <c r="B31" s="25">
        <v>2321</v>
      </c>
      <c r="C31" s="25">
        <v>5103</v>
      </c>
      <c r="D31" s="168" t="s">
        <v>260</v>
      </c>
      <c r="E31" s="42">
        <v>32</v>
      </c>
      <c r="F31" s="45"/>
      <c r="G31" s="44">
        <f t="shared" si="55"/>
        <v>32</v>
      </c>
      <c r="H31" s="116"/>
      <c r="I31" s="168"/>
      <c r="J31" s="28">
        <f t="shared" si="19"/>
        <v>32</v>
      </c>
      <c r="K31" s="15">
        <f>F31+I31</f>
        <v>0</v>
      </c>
      <c r="L31" s="38">
        <f t="shared" si="20"/>
        <v>32</v>
      </c>
      <c r="M31" s="28">
        <v>0</v>
      </c>
      <c r="N31" s="15"/>
      <c r="O31" s="38">
        <f t="shared" si="57"/>
        <v>0</v>
      </c>
      <c r="P31" s="183">
        <f>O31/$L31*100</f>
        <v>0</v>
      </c>
      <c r="Q31" s="28">
        <v>31.225000000000001</v>
      </c>
      <c r="R31" s="15"/>
      <c r="S31" s="38">
        <f t="shared" si="58"/>
        <v>31.225000000000001</v>
      </c>
      <c r="T31" s="199">
        <f t="shared" si="59"/>
        <v>97.578125</v>
      </c>
      <c r="U31" s="28">
        <v>31.225000000000001</v>
      </c>
      <c r="V31" s="15"/>
      <c r="W31" s="38">
        <f t="shared" si="60"/>
        <v>31.225000000000001</v>
      </c>
      <c r="X31" s="206">
        <f t="shared" si="8"/>
        <v>97.578125</v>
      </c>
      <c r="Y31" s="28">
        <v>31.225000000000001</v>
      </c>
      <c r="Z31" s="15"/>
      <c r="AA31" s="38">
        <f t="shared" si="23"/>
        <v>31.225000000000001</v>
      </c>
      <c r="AB31" s="191">
        <f t="shared" si="62"/>
        <v>97.578125</v>
      </c>
      <c r="AC31" s="319">
        <f t="shared" si="24"/>
        <v>0.77499999999999858</v>
      </c>
      <c r="AD31" s="340">
        <v>29</v>
      </c>
      <c r="AE31" s="341"/>
      <c r="AF31" s="175">
        <f t="shared" si="32"/>
        <v>29</v>
      </c>
      <c r="AG31" s="390">
        <f t="shared" ref="AG31" si="63">AF31/$G31*100</f>
        <v>90.625</v>
      </c>
      <c r="AH31" s="148"/>
      <c r="AI31" s="580" t="s">
        <v>182</v>
      </c>
      <c r="AJ31" s="579" t="s">
        <v>355</v>
      </c>
    </row>
    <row r="32" spans="1:36" x14ac:dyDescent="0.2">
      <c r="A32" s="61">
        <v>31</v>
      </c>
      <c r="B32" s="23">
        <v>3100</v>
      </c>
      <c r="C32" s="23"/>
      <c r="D32" s="58" t="s">
        <v>312</v>
      </c>
      <c r="E32" s="13">
        <f t="shared" ref="E32:O32" si="64">SUM(E33:E45)</f>
        <v>19429</v>
      </c>
      <c r="F32" s="16">
        <f t="shared" si="64"/>
        <v>135</v>
      </c>
      <c r="G32" s="37">
        <f t="shared" si="64"/>
        <v>19564</v>
      </c>
      <c r="H32" s="36">
        <f t="shared" si="64"/>
        <v>-5992.1139999999996</v>
      </c>
      <c r="I32" s="353">
        <f t="shared" si="64"/>
        <v>60</v>
      </c>
      <c r="J32" s="39">
        <f>SUM(J33:J45)</f>
        <v>13436.886</v>
      </c>
      <c r="K32" s="40">
        <f t="shared" si="64"/>
        <v>195</v>
      </c>
      <c r="L32" s="41">
        <f t="shared" si="64"/>
        <v>13631.886</v>
      </c>
      <c r="M32" s="39">
        <f t="shared" si="64"/>
        <v>1702.0992200000001</v>
      </c>
      <c r="N32" s="40">
        <f t="shared" si="64"/>
        <v>0</v>
      </c>
      <c r="O32" s="41">
        <f t="shared" si="64"/>
        <v>1702.0992200000001</v>
      </c>
      <c r="P32" s="184">
        <f>O32/$L32*100</f>
        <v>12.486160902460599</v>
      </c>
      <c r="Q32" s="39">
        <f>SUM(Q33:Q45)</f>
        <v>3653.87417</v>
      </c>
      <c r="R32" s="40">
        <f>SUM(R33:R45)</f>
        <v>0</v>
      </c>
      <c r="S32" s="41">
        <f>SUM(S33:S45)</f>
        <v>3653.87417</v>
      </c>
      <c r="T32" s="200">
        <f t="shared" si="6"/>
        <v>26.80387856823333</v>
      </c>
      <c r="U32" s="39">
        <f>SUM(U33:U45)</f>
        <v>8760.6459899999991</v>
      </c>
      <c r="V32" s="40">
        <f>SUM(V33:V45)</f>
        <v>0</v>
      </c>
      <c r="W32" s="41">
        <f>SUM(W33:W45)</f>
        <v>8760.6459899999991</v>
      </c>
      <c r="X32" s="207">
        <f t="shared" si="8"/>
        <v>64.265839591088124</v>
      </c>
      <c r="Y32" s="39">
        <f>SUM(Y33:Y45)</f>
        <v>12444.077109999998</v>
      </c>
      <c r="Z32" s="40">
        <f>SUM(Z33:Z45)</f>
        <v>0</v>
      </c>
      <c r="AA32" s="41">
        <f>SUM(AA33:AA45)</f>
        <v>12444.077109999998</v>
      </c>
      <c r="AB32" s="386">
        <f t="shared" si="10"/>
        <v>91.28654032171336</v>
      </c>
      <c r="AC32" s="320">
        <f>SUM(AC33:AC45)</f>
        <v>1187.8088899999998</v>
      </c>
      <c r="AD32" s="342">
        <f>SUM(AD33:AD45)</f>
        <v>21459</v>
      </c>
      <c r="AE32" s="343">
        <f>SUM(AE33:AE45)</f>
        <v>8670</v>
      </c>
      <c r="AF32" s="137">
        <f>SUM(AF33:AF45)</f>
        <v>30129</v>
      </c>
      <c r="AG32" s="389">
        <f t="shared" ref="AG32:AG39" si="65">AF32/$G32*100</f>
        <v>154.00224902882846</v>
      </c>
      <c r="AH32" s="149"/>
      <c r="AI32" s="581"/>
      <c r="AJ32" s="578"/>
    </row>
    <row r="33" spans="1:36" ht="12" customHeight="1" x14ac:dyDescent="0.2">
      <c r="A33" s="67"/>
      <c r="B33" s="22">
        <v>3111</v>
      </c>
      <c r="C33" s="22">
        <v>301</v>
      </c>
      <c r="D33" s="57" t="s">
        <v>190</v>
      </c>
      <c r="E33" s="28">
        <v>1462</v>
      </c>
      <c r="F33" s="15"/>
      <c r="G33" s="38">
        <f t="shared" ref="G33:G45" si="66">E33+F33</f>
        <v>1462</v>
      </c>
      <c r="H33" s="310">
        <f>24.4755+39-24.4755+943.886</f>
        <v>982.88599999999997</v>
      </c>
      <c r="I33" s="90"/>
      <c r="J33" s="28">
        <f t="shared" ref="J33:J45" si="67">E33+H33</f>
        <v>2444.886</v>
      </c>
      <c r="K33" s="22"/>
      <c r="L33" s="38">
        <f t="shared" ref="L33:L45" si="68">SUM(J33:K33)</f>
        <v>2444.886</v>
      </c>
      <c r="M33" s="28">
        <f>365.5+20.80418+3.67132</f>
        <v>389.97549999999995</v>
      </c>
      <c r="N33" s="15"/>
      <c r="O33" s="38">
        <f t="shared" ref="O33:O45" si="69">M33+N33</f>
        <v>389.97549999999995</v>
      </c>
      <c r="P33" s="183">
        <f t="shared" ref="P33:P41" si="70">O33/$L33*100</f>
        <v>15.950661912252759</v>
      </c>
      <c r="Q33" s="28">
        <f>807.1805-12.705</f>
        <v>794.47550000000001</v>
      </c>
      <c r="R33" s="15"/>
      <c r="S33" s="38">
        <f t="shared" ref="S33:S45" si="71">Q33+R33</f>
        <v>794.47550000000001</v>
      </c>
      <c r="T33" s="199">
        <f t="shared" si="6"/>
        <v>32.495400603545527</v>
      </c>
      <c r="U33" s="28">
        <v>1135.5</v>
      </c>
      <c r="V33" s="15"/>
      <c r="W33" s="38">
        <f t="shared" ref="W33:W45" si="72">U33+V33</f>
        <v>1135.5</v>
      </c>
      <c r="X33" s="206">
        <f t="shared" si="8"/>
        <v>46.44388327308512</v>
      </c>
      <c r="Y33" s="28">
        <f>1462+39+219.59508+724.29092</f>
        <v>2444.886</v>
      </c>
      <c r="Z33" s="15"/>
      <c r="AA33" s="38">
        <f t="shared" ref="AA33:AA45" si="73">Y33+Z33</f>
        <v>2444.886</v>
      </c>
      <c r="AB33" s="387">
        <f t="shared" si="10"/>
        <v>100</v>
      </c>
      <c r="AC33" s="319">
        <f t="shared" ref="AC33:AC45" si="74">L33-AA33</f>
        <v>0</v>
      </c>
      <c r="AD33" s="338">
        <v>2074</v>
      </c>
      <c r="AE33" s="338"/>
      <c r="AF33" s="138">
        <f t="shared" ref="AF33:AF45" si="75">AD33+AE33</f>
        <v>2074</v>
      </c>
      <c r="AG33" s="191">
        <f t="shared" si="65"/>
        <v>141.86046511627907</v>
      </c>
      <c r="AH33" s="146"/>
      <c r="AI33" s="544" t="s">
        <v>183</v>
      </c>
      <c r="AJ33" s="351" t="s">
        <v>355</v>
      </c>
    </row>
    <row r="34" spans="1:36" ht="12.75" customHeight="1" x14ac:dyDescent="0.2">
      <c r="A34" s="67"/>
      <c r="B34" s="22">
        <v>3111</v>
      </c>
      <c r="C34" s="22">
        <v>301</v>
      </c>
      <c r="D34" s="57" t="s">
        <v>213</v>
      </c>
      <c r="E34" s="28">
        <v>338</v>
      </c>
      <c r="F34" s="15"/>
      <c r="G34" s="38">
        <f t="shared" si="66"/>
        <v>338</v>
      </c>
      <c r="H34" s="310"/>
      <c r="I34" s="90"/>
      <c r="J34" s="28">
        <f t="shared" si="67"/>
        <v>338</v>
      </c>
      <c r="K34" s="22"/>
      <c r="L34" s="38">
        <f t="shared" si="68"/>
        <v>338</v>
      </c>
      <c r="M34" s="28">
        <v>0</v>
      </c>
      <c r="N34" s="15"/>
      <c r="O34" s="38">
        <f t="shared" si="69"/>
        <v>0</v>
      </c>
      <c r="P34" s="183">
        <f t="shared" si="70"/>
        <v>0</v>
      </c>
      <c r="Q34" s="28">
        <v>0</v>
      </c>
      <c r="R34" s="15"/>
      <c r="S34" s="38">
        <f t="shared" si="71"/>
        <v>0</v>
      </c>
      <c r="T34" s="199">
        <f t="shared" si="6"/>
        <v>0</v>
      </c>
      <c r="U34" s="28">
        <v>337.767</v>
      </c>
      <c r="V34" s="15"/>
      <c r="W34" s="38">
        <f t="shared" si="72"/>
        <v>337.767</v>
      </c>
      <c r="X34" s="206">
        <f t="shared" si="8"/>
        <v>99.931065088757393</v>
      </c>
      <c r="Y34" s="28">
        <v>337.767</v>
      </c>
      <c r="Z34" s="15"/>
      <c r="AA34" s="38">
        <f t="shared" si="73"/>
        <v>337.767</v>
      </c>
      <c r="AB34" s="387">
        <f t="shared" si="10"/>
        <v>99.931065088757393</v>
      </c>
      <c r="AC34" s="319">
        <f t="shared" si="74"/>
        <v>0.23300000000000409</v>
      </c>
      <c r="AD34" s="332">
        <v>338</v>
      </c>
      <c r="AE34" s="338"/>
      <c r="AF34" s="138">
        <f t="shared" si="75"/>
        <v>338</v>
      </c>
      <c r="AG34" s="191">
        <f t="shared" si="65"/>
        <v>100</v>
      </c>
      <c r="AH34" s="146"/>
      <c r="AI34" s="544" t="s">
        <v>183</v>
      </c>
      <c r="AJ34" s="351" t="s">
        <v>355</v>
      </c>
    </row>
    <row r="35" spans="1:36" ht="12" customHeight="1" x14ac:dyDescent="0.2">
      <c r="A35" s="67"/>
      <c r="B35" s="22">
        <v>3111</v>
      </c>
      <c r="C35" s="22" t="s">
        <v>290</v>
      </c>
      <c r="D35" s="57" t="s">
        <v>283</v>
      </c>
      <c r="E35" s="28">
        <v>7650</v>
      </c>
      <c r="F35" s="15"/>
      <c r="G35" s="38">
        <f t="shared" si="66"/>
        <v>7650</v>
      </c>
      <c r="H35" s="43">
        <v>-7350</v>
      </c>
      <c r="I35" s="90"/>
      <c r="J35" s="28">
        <f t="shared" si="67"/>
        <v>300</v>
      </c>
      <c r="K35" s="22">
        <f>F35+I35</f>
        <v>0</v>
      </c>
      <c r="L35" s="38">
        <f t="shared" si="68"/>
        <v>300</v>
      </c>
      <c r="M35" s="28">
        <v>0</v>
      </c>
      <c r="N35" s="15"/>
      <c r="O35" s="38">
        <f t="shared" si="69"/>
        <v>0</v>
      </c>
      <c r="P35" s="183">
        <f t="shared" si="70"/>
        <v>0</v>
      </c>
      <c r="Q35" s="28">
        <v>12.705</v>
      </c>
      <c r="R35" s="15"/>
      <c r="S35" s="38">
        <f t="shared" si="71"/>
        <v>12.705</v>
      </c>
      <c r="T35" s="199">
        <f t="shared" si="6"/>
        <v>4.2349999999999994</v>
      </c>
      <c r="U35" s="28">
        <v>12.705</v>
      </c>
      <c r="V35" s="15"/>
      <c r="W35" s="38">
        <f t="shared" si="72"/>
        <v>12.705</v>
      </c>
      <c r="X35" s="206">
        <f t="shared" si="8"/>
        <v>4.2349999999999994</v>
      </c>
      <c r="Y35" s="28">
        <v>38.417499999999997</v>
      </c>
      <c r="Z35" s="15"/>
      <c r="AA35" s="38">
        <f t="shared" si="73"/>
        <v>38.417499999999997</v>
      </c>
      <c r="AB35" s="387"/>
      <c r="AC35" s="319">
        <f t="shared" si="74"/>
        <v>261.58249999999998</v>
      </c>
      <c r="AD35" s="338">
        <f>7500+150+1150</f>
        <v>8800</v>
      </c>
      <c r="AE35" s="338"/>
      <c r="AF35" s="138">
        <f t="shared" si="75"/>
        <v>8800</v>
      </c>
      <c r="AG35" s="191">
        <f t="shared" si="65"/>
        <v>115.03267973856208</v>
      </c>
      <c r="AH35" s="146"/>
      <c r="AI35" s="332" t="s">
        <v>148</v>
      </c>
      <c r="AJ35" s="351" t="s">
        <v>113</v>
      </c>
    </row>
    <row r="36" spans="1:36" x14ac:dyDescent="0.2">
      <c r="A36" s="67"/>
      <c r="B36" s="22">
        <v>3113</v>
      </c>
      <c r="C36" s="22">
        <v>300</v>
      </c>
      <c r="D36" s="57" t="s">
        <v>184</v>
      </c>
      <c r="E36" s="28">
        <v>2600</v>
      </c>
      <c r="F36" s="15"/>
      <c r="G36" s="38">
        <f t="shared" si="66"/>
        <v>2600</v>
      </c>
      <c r="H36" s="43"/>
      <c r="I36" s="90"/>
      <c r="J36" s="28">
        <f t="shared" si="67"/>
        <v>2600</v>
      </c>
      <c r="K36" s="15"/>
      <c r="L36" s="38">
        <f t="shared" si="68"/>
        <v>2600</v>
      </c>
      <c r="M36" s="28">
        <v>0</v>
      </c>
      <c r="N36" s="15"/>
      <c r="O36" s="38">
        <f t="shared" si="69"/>
        <v>0</v>
      </c>
      <c r="P36" s="183">
        <f t="shared" si="70"/>
        <v>0</v>
      </c>
      <c r="Q36" s="28"/>
      <c r="R36" s="15"/>
      <c r="S36" s="38">
        <f t="shared" si="71"/>
        <v>0</v>
      </c>
      <c r="T36" s="199">
        <f t="shared" si="6"/>
        <v>0</v>
      </c>
      <c r="U36" s="28">
        <v>709.55155999999999</v>
      </c>
      <c r="V36" s="15"/>
      <c r="W36" s="38">
        <f t="shared" si="72"/>
        <v>709.55155999999999</v>
      </c>
      <c r="X36" s="206">
        <f t="shared" si="8"/>
        <v>27.290444615384612</v>
      </c>
      <c r="Y36" s="28">
        <v>1942.9018699999999</v>
      </c>
      <c r="Z36" s="15"/>
      <c r="AA36" s="38">
        <f t="shared" si="73"/>
        <v>1942.9018699999999</v>
      </c>
      <c r="AB36" s="387">
        <f t="shared" si="10"/>
        <v>74.726995000000002</v>
      </c>
      <c r="AC36" s="319">
        <f t="shared" si="74"/>
        <v>657.09813000000008</v>
      </c>
      <c r="AD36" s="338">
        <v>1200</v>
      </c>
      <c r="AE36" s="338"/>
      <c r="AF36" s="138">
        <f t="shared" si="75"/>
        <v>1200</v>
      </c>
      <c r="AG36" s="191">
        <f t="shared" si="65"/>
        <v>46.153846153846153</v>
      </c>
      <c r="AH36" s="146" t="s">
        <v>554</v>
      </c>
      <c r="AI36" s="332" t="s">
        <v>148</v>
      </c>
      <c r="AJ36" s="351" t="s">
        <v>113</v>
      </c>
    </row>
    <row r="37" spans="1:36" x14ac:dyDescent="0.2">
      <c r="A37" s="67"/>
      <c r="B37" s="22">
        <v>3113</v>
      </c>
      <c r="C37" s="22">
        <v>306</v>
      </c>
      <c r="D37" s="57" t="s">
        <v>447</v>
      </c>
      <c r="E37" s="28"/>
      <c r="F37" s="15"/>
      <c r="G37" s="38"/>
      <c r="H37" s="43"/>
      <c r="I37" s="90"/>
      <c r="J37" s="28">
        <f t="shared" si="67"/>
        <v>0</v>
      </c>
      <c r="K37" s="15"/>
      <c r="L37" s="38"/>
      <c r="M37" s="28"/>
      <c r="N37" s="15"/>
      <c r="O37" s="38"/>
      <c r="P37" s="183"/>
      <c r="Q37" s="28"/>
      <c r="R37" s="15"/>
      <c r="S37" s="38"/>
      <c r="T37" s="199"/>
      <c r="U37" s="28"/>
      <c r="V37" s="15"/>
      <c r="W37" s="38"/>
      <c r="X37" s="206"/>
      <c r="Y37" s="28"/>
      <c r="Z37" s="15"/>
      <c r="AA37" s="38">
        <f t="shared" si="73"/>
        <v>0</v>
      </c>
      <c r="AB37" s="387"/>
      <c r="AC37" s="319">
        <f t="shared" si="74"/>
        <v>0</v>
      </c>
      <c r="AD37" s="332"/>
      <c r="AE37" s="339">
        <f>8670</f>
        <v>8670</v>
      </c>
      <c r="AF37" s="138">
        <f t="shared" si="75"/>
        <v>8670</v>
      </c>
      <c r="AG37" s="191"/>
      <c r="AH37" s="146"/>
      <c r="AI37" s="332" t="s">
        <v>254</v>
      </c>
      <c r="AJ37" s="351" t="s">
        <v>113</v>
      </c>
    </row>
    <row r="38" spans="1:36" ht="12.75" customHeight="1" x14ac:dyDescent="0.2">
      <c r="A38" s="67"/>
      <c r="B38" s="22">
        <v>3113</v>
      </c>
      <c r="C38" s="22">
        <v>303</v>
      </c>
      <c r="D38" s="57" t="s">
        <v>191</v>
      </c>
      <c r="E38" s="28">
        <v>2098</v>
      </c>
      <c r="F38" s="15"/>
      <c r="G38" s="38">
        <f t="shared" si="66"/>
        <v>2098</v>
      </c>
      <c r="H38" s="310"/>
      <c r="I38" s="90"/>
      <c r="J38" s="28">
        <f t="shared" si="67"/>
        <v>2098</v>
      </c>
      <c r="K38" s="15"/>
      <c r="L38" s="38">
        <f t="shared" si="68"/>
        <v>2098</v>
      </c>
      <c r="M38" s="28">
        <v>524.5</v>
      </c>
      <c r="N38" s="15"/>
      <c r="O38" s="38">
        <f t="shared" si="69"/>
        <v>524.5</v>
      </c>
      <c r="P38" s="183">
        <f t="shared" si="70"/>
        <v>25</v>
      </c>
      <c r="Q38" s="28">
        <v>1049</v>
      </c>
      <c r="R38" s="15"/>
      <c r="S38" s="38">
        <f t="shared" si="71"/>
        <v>1049</v>
      </c>
      <c r="T38" s="199">
        <f t="shared" si="6"/>
        <v>50</v>
      </c>
      <c r="U38" s="28">
        <v>1573.5</v>
      </c>
      <c r="V38" s="15"/>
      <c r="W38" s="38">
        <f t="shared" si="72"/>
        <v>1573.5</v>
      </c>
      <c r="X38" s="206">
        <f t="shared" si="8"/>
        <v>75</v>
      </c>
      <c r="Y38" s="28">
        <v>2098</v>
      </c>
      <c r="Z38" s="15"/>
      <c r="AA38" s="38">
        <f t="shared" si="73"/>
        <v>2098</v>
      </c>
      <c r="AB38" s="387">
        <f t="shared" si="10"/>
        <v>100</v>
      </c>
      <c r="AC38" s="319">
        <f t="shared" si="74"/>
        <v>0</v>
      </c>
      <c r="AD38" s="338">
        <f>1243+250+328+120+685</f>
        <v>2626</v>
      </c>
      <c r="AE38" s="338"/>
      <c r="AF38" s="138">
        <f t="shared" si="75"/>
        <v>2626</v>
      </c>
      <c r="AG38" s="191">
        <f t="shared" si="65"/>
        <v>125.16682554814109</v>
      </c>
      <c r="AH38" s="146" t="s">
        <v>555</v>
      </c>
      <c r="AI38" s="544" t="s">
        <v>183</v>
      </c>
      <c r="AJ38" s="351" t="s">
        <v>355</v>
      </c>
    </row>
    <row r="39" spans="1:36" x14ac:dyDescent="0.2">
      <c r="A39" s="67"/>
      <c r="B39" s="22">
        <v>3113</v>
      </c>
      <c r="C39" s="22">
        <v>303.30399999999997</v>
      </c>
      <c r="D39" s="57" t="s">
        <v>214</v>
      </c>
      <c r="E39" s="15">
        <f>888+660</f>
        <v>1548</v>
      </c>
      <c r="F39" s="15"/>
      <c r="G39" s="38">
        <f t="shared" si="66"/>
        <v>1548</v>
      </c>
      <c r="H39" s="310"/>
      <c r="I39" s="90"/>
      <c r="J39" s="28">
        <f t="shared" si="67"/>
        <v>1548</v>
      </c>
      <c r="K39" s="22"/>
      <c r="L39" s="38">
        <f t="shared" si="68"/>
        <v>1548</v>
      </c>
      <c r="M39" s="28">
        <v>0</v>
      </c>
      <c r="N39" s="15"/>
      <c r="O39" s="38">
        <f t="shared" si="69"/>
        <v>0</v>
      </c>
      <c r="P39" s="183">
        <f t="shared" si="70"/>
        <v>0</v>
      </c>
      <c r="Q39" s="28"/>
      <c r="R39" s="15"/>
      <c r="S39" s="38">
        <f t="shared" si="71"/>
        <v>0</v>
      </c>
      <c r="T39" s="199">
        <f t="shared" si="6"/>
        <v>0</v>
      </c>
      <c r="U39" s="28">
        <f>660.227+887.975</f>
        <v>1548.202</v>
      </c>
      <c r="V39" s="15"/>
      <c r="W39" s="38">
        <f t="shared" si="72"/>
        <v>1548.202</v>
      </c>
      <c r="X39" s="206">
        <f t="shared" si="8"/>
        <v>100.01304909560724</v>
      </c>
      <c r="Y39" s="28">
        <f>660.227+887.975</f>
        <v>1548.202</v>
      </c>
      <c r="Z39" s="15"/>
      <c r="AA39" s="38">
        <f t="shared" si="73"/>
        <v>1548.202</v>
      </c>
      <c r="AB39" s="387">
        <f t="shared" si="10"/>
        <v>100.01304909560724</v>
      </c>
      <c r="AC39" s="319">
        <f t="shared" si="74"/>
        <v>-0.20199999999999818</v>
      </c>
      <c r="AD39" s="338">
        <f>888+660</f>
        <v>1548</v>
      </c>
      <c r="AE39" s="338"/>
      <c r="AF39" s="138">
        <f t="shared" si="75"/>
        <v>1548</v>
      </c>
      <c r="AG39" s="191">
        <f t="shared" si="65"/>
        <v>100</v>
      </c>
      <c r="AH39" s="146"/>
      <c r="AI39" s="544" t="s">
        <v>183</v>
      </c>
      <c r="AJ39" s="351" t="s">
        <v>355</v>
      </c>
    </row>
    <row r="40" spans="1:36" x14ac:dyDescent="0.2">
      <c r="A40" s="67"/>
      <c r="B40" s="22">
        <v>3113</v>
      </c>
      <c r="C40" s="22">
        <v>304</v>
      </c>
      <c r="D40" s="57" t="s">
        <v>192</v>
      </c>
      <c r="E40" s="28">
        <v>1403</v>
      </c>
      <c r="F40" s="15"/>
      <c r="G40" s="38">
        <f t="shared" si="66"/>
        <v>1403</v>
      </c>
      <c r="H40" s="310">
        <f>630-255</f>
        <v>375</v>
      </c>
      <c r="I40" s="90"/>
      <c r="J40" s="28">
        <f t="shared" si="67"/>
        <v>1778</v>
      </c>
      <c r="K40" s="22">
        <f>F40+I40</f>
        <v>0</v>
      </c>
      <c r="L40" s="38">
        <f t="shared" si="68"/>
        <v>1778</v>
      </c>
      <c r="M40" s="28">
        <v>350.75</v>
      </c>
      <c r="N40" s="15"/>
      <c r="O40" s="38">
        <f t="shared" si="69"/>
        <v>350.75</v>
      </c>
      <c r="P40" s="183">
        <f t="shared" si="70"/>
        <v>19.727221597300336</v>
      </c>
      <c r="Q40" s="28">
        <v>701.5</v>
      </c>
      <c r="R40" s="15"/>
      <c r="S40" s="38">
        <f t="shared" si="71"/>
        <v>701.5</v>
      </c>
      <c r="T40" s="199">
        <f t="shared" si="6"/>
        <v>39.454443194600671</v>
      </c>
      <c r="U40" s="28">
        <f>1052.25+630</f>
        <v>1682.25</v>
      </c>
      <c r="V40" s="15"/>
      <c r="W40" s="38">
        <f t="shared" si="72"/>
        <v>1682.25</v>
      </c>
      <c r="X40" s="206">
        <f t="shared" si="8"/>
        <v>94.614735658042747</v>
      </c>
      <c r="Y40" s="28">
        <f>1403+375</f>
        <v>1778</v>
      </c>
      <c r="Z40" s="15"/>
      <c r="AA40" s="38">
        <f t="shared" si="73"/>
        <v>1778</v>
      </c>
      <c r="AB40" s="387">
        <f t="shared" si="10"/>
        <v>100</v>
      </c>
      <c r="AC40" s="319">
        <f t="shared" si="74"/>
        <v>0</v>
      </c>
      <c r="AD40" s="338">
        <f>681+250+158+645</f>
        <v>1734</v>
      </c>
      <c r="AE40" s="338"/>
      <c r="AF40" s="138">
        <f t="shared" si="75"/>
        <v>1734</v>
      </c>
      <c r="AG40" s="191">
        <f t="shared" ref="AG40:AG46" si="76">AF40/$G40*100</f>
        <v>123.59230220955095</v>
      </c>
      <c r="AH40" s="146" t="s">
        <v>556</v>
      </c>
      <c r="AI40" s="544" t="s">
        <v>183</v>
      </c>
      <c r="AJ40" s="351" t="s">
        <v>355</v>
      </c>
    </row>
    <row r="41" spans="1:36" x14ac:dyDescent="0.2">
      <c r="A41" s="67"/>
      <c r="B41" s="22">
        <v>3113</v>
      </c>
      <c r="C41" s="22">
        <v>4169</v>
      </c>
      <c r="D41" s="57" t="s">
        <v>433</v>
      </c>
      <c r="E41" s="28">
        <v>3</v>
      </c>
      <c r="F41" s="15"/>
      <c r="G41" s="38">
        <f t="shared" si="66"/>
        <v>3</v>
      </c>
      <c r="H41" s="310"/>
      <c r="I41" s="90"/>
      <c r="J41" s="28">
        <f t="shared" si="67"/>
        <v>3</v>
      </c>
      <c r="K41" s="22">
        <f>F41+I41</f>
        <v>0</v>
      </c>
      <c r="L41" s="38">
        <f t="shared" si="68"/>
        <v>3</v>
      </c>
      <c r="M41" s="28">
        <v>0.36667</v>
      </c>
      <c r="N41" s="15"/>
      <c r="O41" s="38">
        <f t="shared" si="69"/>
        <v>0.36667</v>
      </c>
      <c r="P41" s="183">
        <f t="shared" si="70"/>
        <v>12.222333333333333</v>
      </c>
      <c r="Q41" s="28">
        <v>0.36667</v>
      </c>
      <c r="R41" s="15"/>
      <c r="S41" s="38">
        <f t="shared" si="71"/>
        <v>0.36667</v>
      </c>
      <c r="T41" s="199">
        <f t="shared" si="6"/>
        <v>12.222333333333333</v>
      </c>
      <c r="U41" s="28">
        <v>0.36667</v>
      </c>
      <c r="V41" s="15"/>
      <c r="W41" s="38">
        <f t="shared" si="72"/>
        <v>0.36667</v>
      </c>
      <c r="X41" s="206">
        <f t="shared" si="8"/>
        <v>12.222333333333333</v>
      </c>
      <c r="Y41" s="28">
        <v>0.36667</v>
      </c>
      <c r="Z41" s="15"/>
      <c r="AA41" s="38">
        <f t="shared" si="73"/>
        <v>0.36667</v>
      </c>
      <c r="AB41" s="387">
        <f t="shared" si="10"/>
        <v>12.222333333333333</v>
      </c>
      <c r="AC41" s="319">
        <f t="shared" si="74"/>
        <v>2.6333299999999999</v>
      </c>
      <c r="AD41" s="338"/>
      <c r="AE41" s="338"/>
      <c r="AF41" s="138">
        <f t="shared" si="75"/>
        <v>0</v>
      </c>
      <c r="AG41" s="191">
        <f t="shared" si="76"/>
        <v>0</v>
      </c>
      <c r="AH41" s="146"/>
      <c r="AI41" s="332" t="s">
        <v>254</v>
      </c>
      <c r="AJ41" s="351" t="s">
        <v>113</v>
      </c>
    </row>
    <row r="42" spans="1:36" x14ac:dyDescent="0.2">
      <c r="A42" s="67"/>
      <c r="B42" s="22">
        <v>3119</v>
      </c>
      <c r="C42" s="22">
        <v>1112</v>
      </c>
      <c r="D42" s="57" t="s">
        <v>225</v>
      </c>
      <c r="E42" s="28">
        <v>160</v>
      </c>
      <c r="F42" s="15"/>
      <c r="G42" s="38">
        <f t="shared" si="66"/>
        <v>160</v>
      </c>
      <c r="H42" s="43"/>
      <c r="I42" s="90"/>
      <c r="J42" s="28">
        <f t="shared" si="67"/>
        <v>160</v>
      </c>
      <c r="K42" s="22">
        <f t="shared" ref="K42" si="77">F42+I42</f>
        <v>0</v>
      </c>
      <c r="L42" s="38">
        <f t="shared" si="68"/>
        <v>160</v>
      </c>
      <c r="M42" s="28">
        <v>0</v>
      </c>
      <c r="N42" s="15"/>
      <c r="O42" s="38">
        <f t="shared" si="69"/>
        <v>0</v>
      </c>
      <c r="P42" s="183">
        <f t="shared" ref="P42:P49" si="78">O42/$L42*100</f>
        <v>0</v>
      </c>
      <c r="Q42" s="28">
        <v>80</v>
      </c>
      <c r="R42" s="15"/>
      <c r="S42" s="38">
        <f t="shared" si="71"/>
        <v>80</v>
      </c>
      <c r="T42" s="199">
        <f t="shared" si="6"/>
        <v>50</v>
      </c>
      <c r="U42" s="28">
        <v>160</v>
      </c>
      <c r="V42" s="15"/>
      <c r="W42" s="38">
        <f t="shared" si="72"/>
        <v>160</v>
      </c>
      <c r="X42" s="206">
        <f t="shared" si="8"/>
        <v>100</v>
      </c>
      <c r="Y42" s="28">
        <v>160</v>
      </c>
      <c r="Z42" s="15"/>
      <c r="AA42" s="38">
        <f t="shared" si="73"/>
        <v>160</v>
      </c>
      <c r="AB42" s="387">
        <f t="shared" si="10"/>
        <v>100</v>
      </c>
      <c r="AC42" s="319">
        <f t="shared" si="74"/>
        <v>0</v>
      </c>
      <c r="AD42" s="332">
        <v>160</v>
      </c>
      <c r="AE42" s="338"/>
      <c r="AF42" s="138">
        <f t="shared" si="75"/>
        <v>160</v>
      </c>
      <c r="AG42" s="191">
        <f t="shared" si="76"/>
        <v>100</v>
      </c>
      <c r="AH42" s="146" t="s">
        <v>327</v>
      </c>
      <c r="AI42" s="544" t="s">
        <v>183</v>
      </c>
      <c r="AJ42" s="351" t="s">
        <v>355</v>
      </c>
    </row>
    <row r="43" spans="1:36" x14ac:dyDescent="0.2">
      <c r="A43" s="67"/>
      <c r="B43" s="22">
        <v>3141</v>
      </c>
      <c r="C43" s="22">
        <v>309</v>
      </c>
      <c r="D43" s="57" t="s">
        <v>560</v>
      </c>
      <c r="E43" s="28">
        <v>1847</v>
      </c>
      <c r="F43" s="15">
        <v>135</v>
      </c>
      <c r="G43" s="38">
        <f t="shared" si="66"/>
        <v>1982</v>
      </c>
      <c r="H43" s="43">
        <f>-60+60</f>
        <v>0</v>
      </c>
      <c r="I43" s="90">
        <v>60</v>
      </c>
      <c r="J43" s="28">
        <f t="shared" si="67"/>
        <v>1847</v>
      </c>
      <c r="K43" s="22">
        <f>F43+I43</f>
        <v>195</v>
      </c>
      <c r="L43" s="38">
        <f t="shared" si="68"/>
        <v>2042</v>
      </c>
      <c r="M43" s="28">
        <v>373.00704999999999</v>
      </c>
      <c r="N43" s="15"/>
      <c r="O43" s="38">
        <f t="shared" si="69"/>
        <v>373.00704999999999</v>
      </c>
      <c r="P43" s="183">
        <f t="shared" si="78"/>
        <v>18.266750734573947</v>
      </c>
      <c r="Q43" s="28">
        <v>888.827</v>
      </c>
      <c r="R43" s="15"/>
      <c r="S43" s="38">
        <f t="shared" si="71"/>
        <v>888.827</v>
      </c>
      <c r="T43" s="199">
        <f t="shared" si="6"/>
        <v>43.527277179236044</v>
      </c>
      <c r="U43" s="28">
        <v>1344.0467599999999</v>
      </c>
      <c r="V43" s="15"/>
      <c r="W43" s="38">
        <f t="shared" si="72"/>
        <v>1344.0467599999999</v>
      </c>
      <c r="X43" s="206">
        <f t="shared" si="8"/>
        <v>65.82011557296768</v>
      </c>
      <c r="Y43" s="28">
        <v>1775.27907</v>
      </c>
      <c r="Z43" s="15"/>
      <c r="AA43" s="38">
        <f t="shared" si="73"/>
        <v>1775.27907</v>
      </c>
      <c r="AB43" s="387">
        <f t="shared" si="10"/>
        <v>86.938250244857983</v>
      </c>
      <c r="AC43" s="319">
        <f t="shared" si="74"/>
        <v>266.72092999999995</v>
      </c>
      <c r="AD43" s="332">
        <v>2580</v>
      </c>
      <c r="AE43" s="338"/>
      <c r="AF43" s="138">
        <f t="shared" si="75"/>
        <v>2580</v>
      </c>
      <c r="AG43" s="191">
        <f t="shared" si="76"/>
        <v>130.17154389505549</v>
      </c>
      <c r="AH43" s="146"/>
      <c r="AI43" s="544" t="s">
        <v>416</v>
      </c>
      <c r="AJ43" s="578" t="s">
        <v>436</v>
      </c>
    </row>
    <row r="44" spans="1:36" x14ac:dyDescent="0.2">
      <c r="A44" s="67"/>
      <c r="B44" s="22">
        <v>3231</v>
      </c>
      <c r="C44" s="22">
        <v>310</v>
      </c>
      <c r="D44" s="57" t="s">
        <v>271</v>
      </c>
      <c r="E44" s="28">
        <v>254</v>
      </c>
      <c r="F44" s="15"/>
      <c r="G44" s="38">
        <f t="shared" si="66"/>
        <v>254</v>
      </c>
      <c r="H44" s="310"/>
      <c r="I44" s="90"/>
      <c r="J44" s="28">
        <f t="shared" si="67"/>
        <v>254</v>
      </c>
      <c r="K44" s="22">
        <f>F44+I44</f>
        <v>0</v>
      </c>
      <c r="L44" s="38">
        <f t="shared" si="68"/>
        <v>254</v>
      </c>
      <c r="M44" s="28">
        <v>63.5</v>
      </c>
      <c r="N44" s="15"/>
      <c r="O44" s="38">
        <f t="shared" si="69"/>
        <v>63.5</v>
      </c>
      <c r="P44" s="183">
        <f t="shared" si="78"/>
        <v>25</v>
      </c>
      <c r="Q44" s="28">
        <v>127</v>
      </c>
      <c r="R44" s="15"/>
      <c r="S44" s="38">
        <f t="shared" si="71"/>
        <v>127</v>
      </c>
      <c r="T44" s="199">
        <f t="shared" si="6"/>
        <v>50</v>
      </c>
      <c r="U44" s="28">
        <v>190.5</v>
      </c>
      <c r="V44" s="15"/>
      <c r="W44" s="38">
        <f t="shared" si="72"/>
        <v>190.5</v>
      </c>
      <c r="X44" s="206">
        <f t="shared" si="8"/>
        <v>75</v>
      </c>
      <c r="Y44" s="28">
        <v>254</v>
      </c>
      <c r="Z44" s="15"/>
      <c r="AA44" s="38">
        <f t="shared" si="73"/>
        <v>254</v>
      </c>
      <c r="AB44" s="387">
        <f t="shared" si="10"/>
        <v>100</v>
      </c>
      <c r="AC44" s="319">
        <f t="shared" si="74"/>
        <v>0</v>
      </c>
      <c r="AD44" s="338">
        <v>332</v>
      </c>
      <c r="AE44" s="338"/>
      <c r="AF44" s="138">
        <f t="shared" si="75"/>
        <v>332</v>
      </c>
      <c r="AG44" s="191">
        <f t="shared" si="76"/>
        <v>130.70866141732282</v>
      </c>
      <c r="AH44" s="146"/>
      <c r="AI44" s="544" t="s">
        <v>183</v>
      </c>
      <c r="AJ44" s="351" t="s">
        <v>355</v>
      </c>
    </row>
    <row r="45" spans="1:36" x14ac:dyDescent="0.2">
      <c r="A45" s="76"/>
      <c r="B45" s="25">
        <v>3231</v>
      </c>
      <c r="C45" s="25">
        <v>310</v>
      </c>
      <c r="D45" s="168" t="s">
        <v>215</v>
      </c>
      <c r="E45" s="42">
        <v>66</v>
      </c>
      <c r="F45" s="45"/>
      <c r="G45" s="44">
        <f t="shared" si="66"/>
        <v>66</v>
      </c>
      <c r="H45" s="311"/>
      <c r="I45" s="354"/>
      <c r="J45" s="42">
        <f t="shared" si="67"/>
        <v>66</v>
      </c>
      <c r="K45" s="25">
        <f>F45+I45</f>
        <v>0</v>
      </c>
      <c r="L45" s="44">
        <f t="shared" si="68"/>
        <v>66</v>
      </c>
      <c r="M45" s="42">
        <v>0</v>
      </c>
      <c r="N45" s="45"/>
      <c r="O45" s="44">
        <f t="shared" si="69"/>
        <v>0</v>
      </c>
      <c r="P45" s="185">
        <f t="shared" si="78"/>
        <v>0</v>
      </c>
      <c r="Q45" s="42"/>
      <c r="R45" s="45"/>
      <c r="S45" s="44">
        <f t="shared" si="71"/>
        <v>0</v>
      </c>
      <c r="T45" s="201">
        <f t="shared" si="6"/>
        <v>0</v>
      </c>
      <c r="U45" s="42">
        <v>66.257000000000005</v>
      </c>
      <c r="V45" s="45"/>
      <c r="W45" s="44">
        <f t="shared" si="72"/>
        <v>66.257000000000005</v>
      </c>
      <c r="X45" s="208">
        <f t="shared" si="8"/>
        <v>100.38939393939394</v>
      </c>
      <c r="Y45" s="42">
        <v>66.257000000000005</v>
      </c>
      <c r="Z45" s="45"/>
      <c r="AA45" s="44">
        <f t="shared" si="73"/>
        <v>66.257000000000005</v>
      </c>
      <c r="AB45" s="388">
        <f t="shared" si="10"/>
        <v>100.38939393939394</v>
      </c>
      <c r="AC45" s="319">
        <f t="shared" si="74"/>
        <v>-0.257000000000005</v>
      </c>
      <c r="AD45" s="340">
        <v>67</v>
      </c>
      <c r="AE45" s="341"/>
      <c r="AF45" s="175">
        <f t="shared" si="75"/>
        <v>67</v>
      </c>
      <c r="AG45" s="391">
        <f t="shared" si="76"/>
        <v>101.51515151515152</v>
      </c>
      <c r="AH45" s="148"/>
      <c r="AI45" s="580" t="s">
        <v>183</v>
      </c>
      <c r="AJ45" s="579" t="s">
        <v>355</v>
      </c>
    </row>
    <row r="46" spans="1:36" x14ac:dyDescent="0.2">
      <c r="A46" s="61">
        <v>33</v>
      </c>
      <c r="B46" s="23">
        <v>3300</v>
      </c>
      <c r="C46" s="23"/>
      <c r="D46" s="58" t="s">
        <v>71</v>
      </c>
      <c r="E46" s="13">
        <f t="shared" ref="E46:O46" si="79">SUM(E47:E57)</f>
        <v>13735</v>
      </c>
      <c r="F46" s="16">
        <f t="shared" si="79"/>
        <v>0</v>
      </c>
      <c r="G46" s="37">
        <f t="shared" si="79"/>
        <v>13735</v>
      </c>
      <c r="H46" s="36">
        <f t="shared" si="79"/>
        <v>3540</v>
      </c>
      <c r="I46" s="37">
        <f t="shared" si="79"/>
        <v>0</v>
      </c>
      <c r="J46" s="36">
        <f t="shared" si="79"/>
        <v>17275</v>
      </c>
      <c r="K46" s="16">
        <f t="shared" si="79"/>
        <v>0</v>
      </c>
      <c r="L46" s="37">
        <f t="shared" si="79"/>
        <v>17275</v>
      </c>
      <c r="M46" s="36">
        <f t="shared" si="79"/>
        <v>2447.8481999999999</v>
      </c>
      <c r="N46" s="16">
        <f t="shared" si="79"/>
        <v>0</v>
      </c>
      <c r="O46" s="37">
        <f t="shared" si="79"/>
        <v>2447.8481999999999</v>
      </c>
      <c r="P46" s="186">
        <f t="shared" si="78"/>
        <v>14.169888277858176</v>
      </c>
      <c r="Q46" s="36">
        <f>SUM(Q47:Q57)</f>
        <v>4654.8361000000004</v>
      </c>
      <c r="R46" s="16">
        <f>SUM(R47:R57)</f>
        <v>0</v>
      </c>
      <c r="S46" s="37">
        <f>SUM(S47:S57)</f>
        <v>4654.8361000000004</v>
      </c>
      <c r="T46" s="202">
        <f t="shared" si="6"/>
        <v>26.945505643994217</v>
      </c>
      <c r="U46" s="36">
        <f>SUM(U47:U57)</f>
        <v>10737.984540000003</v>
      </c>
      <c r="V46" s="16">
        <f>SUM(V47:V57)</f>
        <v>0</v>
      </c>
      <c r="W46" s="37">
        <f>SUM(W47:W57)</f>
        <v>10737.984540000003</v>
      </c>
      <c r="X46" s="209">
        <f t="shared" si="8"/>
        <v>62.159100086830698</v>
      </c>
      <c r="Y46" s="36">
        <f>SUM(Y47:Y57)</f>
        <v>15462.652020000001</v>
      </c>
      <c r="Z46" s="16">
        <f>SUM(Z47:Z57)</f>
        <v>0</v>
      </c>
      <c r="AA46" s="37">
        <f>SUM(AA47:AA57)</f>
        <v>15462.652020000001</v>
      </c>
      <c r="AB46" s="389">
        <f t="shared" si="10"/>
        <v>89.508839479015919</v>
      </c>
      <c r="AC46" s="320">
        <f>SUM(AC47:AC57)</f>
        <v>1812.34798</v>
      </c>
      <c r="AD46" s="342">
        <f>SUM(AD47:AD57)</f>
        <v>15979</v>
      </c>
      <c r="AE46" s="343">
        <f>SUM(AE47:AE57)</f>
        <v>0</v>
      </c>
      <c r="AF46" s="137">
        <f>SUM(AF47:AF57)</f>
        <v>15979</v>
      </c>
      <c r="AG46" s="389">
        <f t="shared" si="76"/>
        <v>116.33782307972334</v>
      </c>
      <c r="AH46" s="149"/>
      <c r="AI46" s="581"/>
      <c r="AJ46" s="578"/>
    </row>
    <row r="47" spans="1:36" x14ac:dyDescent="0.2">
      <c r="A47" s="67"/>
      <c r="B47" s="22">
        <v>3315</v>
      </c>
      <c r="C47" s="22">
        <v>505</v>
      </c>
      <c r="D47" s="57" t="s">
        <v>223</v>
      </c>
      <c r="E47" s="28">
        <v>1285</v>
      </c>
      <c r="F47" s="15"/>
      <c r="G47" s="38">
        <f t="shared" ref="G47:G56" si="80">E47+F47</f>
        <v>1285</v>
      </c>
      <c r="H47" s="43"/>
      <c r="I47" s="57"/>
      <c r="J47" s="28">
        <f t="shared" ref="J47:J57" si="81">E47+H47</f>
        <v>1285</v>
      </c>
      <c r="K47" s="15"/>
      <c r="L47" s="38">
        <f t="shared" ref="L47:L57" si="82">SUM(J47:K47)</f>
        <v>1285</v>
      </c>
      <c r="M47" s="28">
        <v>400</v>
      </c>
      <c r="N47" s="15"/>
      <c r="O47" s="38">
        <f t="shared" ref="O47:O54" si="83">M47+N47</f>
        <v>400</v>
      </c>
      <c r="P47" s="183">
        <f t="shared" si="78"/>
        <v>31.1284046692607</v>
      </c>
      <c r="Q47" s="28">
        <v>400</v>
      </c>
      <c r="R47" s="15"/>
      <c r="S47" s="38">
        <f t="shared" ref="S47:S54" si="84">Q47+R47</f>
        <v>400</v>
      </c>
      <c r="T47" s="199">
        <f t="shared" ref="T47:T54" si="85">S47/$L47*100</f>
        <v>31.1284046692607</v>
      </c>
      <c r="U47" s="28">
        <v>1285</v>
      </c>
      <c r="V47" s="15"/>
      <c r="W47" s="38">
        <f t="shared" ref="W47:W54" si="86">U47+V47</f>
        <v>1285</v>
      </c>
      <c r="X47" s="206">
        <f>W47/$L47*100</f>
        <v>100</v>
      </c>
      <c r="Y47" s="28">
        <v>1285</v>
      </c>
      <c r="Z47" s="15"/>
      <c r="AA47" s="38">
        <f t="shared" ref="AA47:AA57" si="87">Y47+Z47</f>
        <v>1285</v>
      </c>
      <c r="AB47" s="191">
        <f t="shared" ref="AB47:AB54" si="88">AA47/$L47*100</f>
        <v>100</v>
      </c>
      <c r="AC47" s="319">
        <f t="shared" ref="AC47:AC57" si="89">L47-AA47</f>
        <v>0</v>
      </c>
      <c r="AD47" s="332">
        <v>1285</v>
      </c>
      <c r="AE47" s="338"/>
      <c r="AF47" s="138">
        <f t="shared" ref="AF47:AF56" si="90">AD47+AE47</f>
        <v>1285</v>
      </c>
      <c r="AG47" s="191">
        <f t="shared" ref="AG47:AG56" si="91">AF47/$G47*100</f>
        <v>100</v>
      </c>
      <c r="AH47" s="146" t="s">
        <v>306</v>
      </c>
      <c r="AI47" s="544" t="s">
        <v>183</v>
      </c>
      <c r="AJ47" s="351" t="s">
        <v>355</v>
      </c>
    </row>
    <row r="48" spans="1:36" ht="12.75" customHeight="1" x14ac:dyDescent="0.2">
      <c r="A48" s="67"/>
      <c r="B48" s="22">
        <v>3319</v>
      </c>
      <c r="C48" s="22">
        <v>5110</v>
      </c>
      <c r="D48" s="57" t="s">
        <v>287</v>
      </c>
      <c r="E48" s="28">
        <v>40</v>
      </c>
      <c r="F48" s="15"/>
      <c r="G48" s="38">
        <f t="shared" si="80"/>
        <v>40</v>
      </c>
      <c r="H48" s="28"/>
      <c r="I48" s="38"/>
      <c r="J48" s="28">
        <f t="shared" si="81"/>
        <v>40</v>
      </c>
      <c r="K48" s="15"/>
      <c r="L48" s="38">
        <f t="shared" si="82"/>
        <v>40</v>
      </c>
      <c r="M48" s="28">
        <v>40</v>
      </c>
      <c r="N48" s="15"/>
      <c r="O48" s="38">
        <f t="shared" si="83"/>
        <v>40</v>
      </c>
      <c r="P48" s="183">
        <f t="shared" si="78"/>
        <v>100</v>
      </c>
      <c r="Q48" s="28">
        <v>40</v>
      </c>
      <c r="R48" s="15"/>
      <c r="S48" s="38">
        <f t="shared" si="84"/>
        <v>40</v>
      </c>
      <c r="T48" s="199">
        <f t="shared" si="85"/>
        <v>100</v>
      </c>
      <c r="U48" s="28">
        <v>40</v>
      </c>
      <c r="V48" s="15"/>
      <c r="W48" s="38">
        <f t="shared" si="86"/>
        <v>40</v>
      </c>
      <c r="X48" s="206">
        <f>W48/$L48*100</f>
        <v>100</v>
      </c>
      <c r="Y48" s="28">
        <v>40</v>
      </c>
      <c r="Z48" s="15"/>
      <c r="AA48" s="38">
        <f t="shared" si="87"/>
        <v>40</v>
      </c>
      <c r="AB48" s="191">
        <f t="shared" si="88"/>
        <v>100</v>
      </c>
      <c r="AC48" s="319">
        <f t="shared" si="89"/>
        <v>0</v>
      </c>
      <c r="AD48" s="332">
        <v>40</v>
      </c>
      <c r="AE48" s="338"/>
      <c r="AF48" s="138">
        <f t="shared" si="90"/>
        <v>40</v>
      </c>
      <c r="AG48" s="191">
        <f t="shared" si="91"/>
        <v>100</v>
      </c>
      <c r="AH48" s="146" t="s">
        <v>300</v>
      </c>
      <c r="AI48" s="544" t="s">
        <v>183</v>
      </c>
      <c r="AJ48" s="351" t="s">
        <v>355</v>
      </c>
    </row>
    <row r="49" spans="1:171" ht="12.75" customHeight="1" x14ac:dyDescent="0.2">
      <c r="A49" s="67"/>
      <c r="B49" s="22">
        <v>3319</v>
      </c>
      <c r="C49" s="22">
        <v>112</v>
      </c>
      <c r="D49" s="57" t="s">
        <v>286</v>
      </c>
      <c r="E49" s="28">
        <v>248</v>
      </c>
      <c r="F49" s="15"/>
      <c r="G49" s="38">
        <f t="shared" si="80"/>
        <v>248</v>
      </c>
      <c r="H49" s="28"/>
      <c r="I49" s="38"/>
      <c r="J49" s="28">
        <f t="shared" si="81"/>
        <v>248</v>
      </c>
      <c r="K49" s="15"/>
      <c r="L49" s="38">
        <f t="shared" si="82"/>
        <v>248</v>
      </c>
      <c r="M49" s="28">
        <v>0</v>
      </c>
      <c r="N49" s="15"/>
      <c r="O49" s="38">
        <f t="shared" si="83"/>
        <v>0</v>
      </c>
      <c r="P49" s="183">
        <f t="shared" si="78"/>
        <v>0</v>
      </c>
      <c r="Q49" s="28">
        <v>240.5</v>
      </c>
      <c r="R49" s="15"/>
      <c r="S49" s="38">
        <f t="shared" si="84"/>
        <v>240.5</v>
      </c>
      <c r="T49" s="199">
        <f t="shared" si="85"/>
        <v>96.975806451612897</v>
      </c>
      <c r="U49" s="28">
        <v>240.5</v>
      </c>
      <c r="V49" s="15"/>
      <c r="W49" s="38">
        <f t="shared" si="86"/>
        <v>240.5</v>
      </c>
      <c r="X49" s="206">
        <f>W49/$L49*100</f>
        <v>96.975806451612897</v>
      </c>
      <c r="Y49" s="28">
        <v>240.5</v>
      </c>
      <c r="Z49" s="15"/>
      <c r="AA49" s="38">
        <f t="shared" si="87"/>
        <v>240.5</v>
      </c>
      <c r="AB49" s="191">
        <f t="shared" si="88"/>
        <v>96.975806451612897</v>
      </c>
      <c r="AC49" s="319">
        <f t="shared" si="89"/>
        <v>7.5</v>
      </c>
      <c r="AD49" s="338">
        <v>316</v>
      </c>
      <c r="AE49" s="338"/>
      <c r="AF49" s="138">
        <f t="shared" si="90"/>
        <v>316</v>
      </c>
      <c r="AG49" s="191">
        <f t="shared" si="91"/>
        <v>127.41935483870968</v>
      </c>
      <c r="AH49" s="146" t="s">
        <v>557</v>
      </c>
      <c r="AI49" s="544" t="s">
        <v>284</v>
      </c>
      <c r="AJ49" s="351" t="s">
        <v>355</v>
      </c>
    </row>
    <row r="50" spans="1:171" x14ac:dyDescent="0.2">
      <c r="A50" s="67"/>
      <c r="B50" s="22">
        <v>3322.3326000000002</v>
      </c>
      <c r="C50" s="22" t="s">
        <v>218</v>
      </c>
      <c r="D50" s="57" t="s">
        <v>134</v>
      </c>
      <c r="E50" s="28">
        <v>3038</v>
      </c>
      <c r="F50" s="15"/>
      <c r="G50" s="38">
        <f t="shared" si="80"/>
        <v>3038</v>
      </c>
      <c r="H50" s="310">
        <f>1170+1000+270-300</f>
        <v>2140</v>
      </c>
      <c r="I50" s="57"/>
      <c r="J50" s="28">
        <f t="shared" si="81"/>
        <v>5178</v>
      </c>
      <c r="K50" s="15"/>
      <c r="L50" s="38">
        <f t="shared" si="82"/>
        <v>5178</v>
      </c>
      <c r="M50" s="28">
        <v>28.1325</v>
      </c>
      <c r="N50" s="15"/>
      <c r="O50" s="38">
        <f t="shared" si="83"/>
        <v>28.1325</v>
      </c>
      <c r="P50" s="183">
        <f>O50/$L50*100</f>
        <v>0.54330822711471605</v>
      </c>
      <c r="Q50" s="28">
        <v>412.49919999999997</v>
      </c>
      <c r="R50" s="15"/>
      <c r="S50" s="38">
        <f t="shared" si="84"/>
        <v>412.49919999999997</v>
      </c>
      <c r="T50" s="199">
        <f t="shared" si="85"/>
        <v>7.9663808420239475</v>
      </c>
      <c r="U50" s="28">
        <v>2471.0760399999999</v>
      </c>
      <c r="V50" s="15"/>
      <c r="W50" s="38">
        <f t="shared" si="86"/>
        <v>2471.0760399999999</v>
      </c>
      <c r="X50" s="206">
        <f t="shared" ref="X50:X54" si="92">W50/$L50*100</f>
        <v>47.722596369254539</v>
      </c>
      <c r="Y50" s="28">
        <v>4703.5720199999996</v>
      </c>
      <c r="Z50" s="15"/>
      <c r="AA50" s="38">
        <f t="shared" si="87"/>
        <v>4703.5720199999996</v>
      </c>
      <c r="AB50" s="191">
        <f t="shared" si="88"/>
        <v>90.837621089223632</v>
      </c>
      <c r="AC50" s="319">
        <f t="shared" si="89"/>
        <v>474.42798000000039</v>
      </c>
      <c r="AD50" s="332">
        <v>4330</v>
      </c>
      <c r="AE50" s="338"/>
      <c r="AF50" s="138">
        <f t="shared" si="90"/>
        <v>4330</v>
      </c>
      <c r="AG50" s="191">
        <f t="shared" si="91"/>
        <v>142.52797893350888</v>
      </c>
      <c r="AH50" s="146"/>
      <c r="AI50" s="544" t="s">
        <v>273</v>
      </c>
      <c r="AJ50" s="351" t="s">
        <v>113</v>
      </c>
    </row>
    <row r="51" spans="1:171" x14ac:dyDescent="0.2">
      <c r="A51" s="67"/>
      <c r="B51" s="22">
        <v>3326</v>
      </c>
      <c r="C51" s="22">
        <v>103</v>
      </c>
      <c r="D51" s="57" t="s">
        <v>205</v>
      </c>
      <c r="E51" s="28">
        <v>50</v>
      </c>
      <c r="F51" s="15"/>
      <c r="G51" s="38">
        <f t="shared" si="80"/>
        <v>50</v>
      </c>
      <c r="H51" s="43"/>
      <c r="I51" s="57"/>
      <c r="J51" s="28">
        <f t="shared" si="81"/>
        <v>50</v>
      </c>
      <c r="K51" s="15"/>
      <c r="L51" s="38">
        <f t="shared" si="82"/>
        <v>50</v>
      </c>
      <c r="M51" s="28">
        <v>0</v>
      </c>
      <c r="N51" s="15"/>
      <c r="O51" s="38">
        <f t="shared" si="83"/>
        <v>0</v>
      </c>
      <c r="P51" s="183">
        <f>O51/$L51*100</f>
        <v>0</v>
      </c>
      <c r="Q51" s="28">
        <v>3.2669999999999999</v>
      </c>
      <c r="R51" s="15"/>
      <c r="S51" s="38">
        <f t="shared" si="84"/>
        <v>3.2669999999999999</v>
      </c>
      <c r="T51" s="199">
        <f t="shared" si="85"/>
        <v>6.5339999999999998</v>
      </c>
      <c r="U51" s="28">
        <v>17.007000000000001</v>
      </c>
      <c r="V51" s="15"/>
      <c r="W51" s="38">
        <f t="shared" si="86"/>
        <v>17.007000000000001</v>
      </c>
      <c r="X51" s="206">
        <f t="shared" si="92"/>
        <v>34.014000000000003</v>
      </c>
      <c r="Y51" s="28">
        <v>49.773000000000003</v>
      </c>
      <c r="Z51" s="15"/>
      <c r="AA51" s="38">
        <f t="shared" si="87"/>
        <v>49.773000000000003</v>
      </c>
      <c r="AB51" s="191">
        <f t="shared" si="88"/>
        <v>99.546000000000006</v>
      </c>
      <c r="AC51" s="319">
        <f t="shared" si="89"/>
        <v>0.22699999999999676</v>
      </c>
      <c r="AD51" s="332">
        <v>50</v>
      </c>
      <c r="AE51" s="338"/>
      <c r="AF51" s="138">
        <f t="shared" si="90"/>
        <v>50</v>
      </c>
      <c r="AG51" s="191">
        <f t="shared" si="91"/>
        <v>100</v>
      </c>
      <c r="AH51" s="146"/>
      <c r="AI51" s="544" t="s">
        <v>273</v>
      </c>
      <c r="AJ51" s="351" t="s">
        <v>113</v>
      </c>
    </row>
    <row r="52" spans="1:171" x14ac:dyDescent="0.2">
      <c r="A52" s="67"/>
      <c r="B52" s="22">
        <v>3349</v>
      </c>
      <c r="C52" s="22">
        <v>42</v>
      </c>
      <c r="D52" s="57" t="s">
        <v>72</v>
      </c>
      <c r="E52" s="28">
        <f>323+50+25</f>
        <v>398</v>
      </c>
      <c r="F52" s="15"/>
      <c r="G52" s="38">
        <f t="shared" si="80"/>
        <v>398</v>
      </c>
      <c r="H52" s="43"/>
      <c r="I52" s="57"/>
      <c r="J52" s="28">
        <f t="shared" si="81"/>
        <v>398</v>
      </c>
      <c r="K52" s="15"/>
      <c r="L52" s="38">
        <f t="shared" si="82"/>
        <v>398</v>
      </c>
      <c r="M52" s="28">
        <v>129.17583999999999</v>
      </c>
      <c r="N52" s="15"/>
      <c r="O52" s="38">
        <f t="shared" si="83"/>
        <v>129.17583999999999</v>
      </c>
      <c r="P52" s="183">
        <f>O52/$L52*100</f>
        <v>32.45624120603015</v>
      </c>
      <c r="Q52" s="28">
        <v>226.21904000000001</v>
      </c>
      <c r="R52" s="15"/>
      <c r="S52" s="38">
        <f t="shared" si="84"/>
        <v>226.21904000000001</v>
      </c>
      <c r="T52" s="199">
        <f t="shared" si="85"/>
        <v>56.838954773869347</v>
      </c>
      <c r="U52" s="28">
        <v>360.18304000000001</v>
      </c>
      <c r="V52" s="15"/>
      <c r="W52" s="38">
        <f t="shared" si="86"/>
        <v>360.18304000000001</v>
      </c>
      <c r="X52" s="206">
        <f t="shared" si="92"/>
        <v>90.498251256281407</v>
      </c>
      <c r="Y52" s="28">
        <v>469.06864000000002</v>
      </c>
      <c r="Z52" s="15"/>
      <c r="AA52" s="38">
        <f t="shared" si="87"/>
        <v>469.06864000000002</v>
      </c>
      <c r="AB52" s="191">
        <f t="shared" si="88"/>
        <v>117.8564422110553</v>
      </c>
      <c r="AC52" s="319">
        <f t="shared" si="89"/>
        <v>-71.068640000000016</v>
      </c>
      <c r="AD52" s="332">
        <f>323+82+15</f>
        <v>420</v>
      </c>
      <c r="AE52" s="338"/>
      <c r="AF52" s="138">
        <f t="shared" si="90"/>
        <v>420</v>
      </c>
      <c r="AG52" s="191">
        <f t="shared" si="91"/>
        <v>105.52763819095476</v>
      </c>
      <c r="AH52" s="146"/>
      <c r="AI52" s="346" t="s">
        <v>444</v>
      </c>
      <c r="AJ52" s="582" t="s">
        <v>69</v>
      </c>
      <c r="FO52" s="70">
        <f>SUM(Q52:FN52)</f>
        <v>3250.594086432161</v>
      </c>
    </row>
    <row r="53" spans="1:171" x14ac:dyDescent="0.2">
      <c r="A53" s="67"/>
      <c r="B53" s="22">
        <v>3392</v>
      </c>
      <c r="C53" s="22">
        <v>312</v>
      </c>
      <c r="D53" s="57" t="s">
        <v>222</v>
      </c>
      <c r="E53" s="15">
        <f>2275+3659</f>
        <v>5934</v>
      </c>
      <c r="F53" s="15"/>
      <c r="G53" s="38">
        <f t="shared" si="80"/>
        <v>5934</v>
      </c>
      <c r="H53" s="310">
        <f>140+10</f>
        <v>150</v>
      </c>
      <c r="I53" s="312"/>
      <c r="J53" s="28">
        <f t="shared" si="81"/>
        <v>6084</v>
      </c>
      <c r="K53" s="15"/>
      <c r="L53" s="38">
        <f t="shared" si="82"/>
        <v>6084</v>
      </c>
      <c r="M53" s="28">
        <v>1506.75</v>
      </c>
      <c r="N53" s="15"/>
      <c r="O53" s="38">
        <f t="shared" si="83"/>
        <v>1506.75</v>
      </c>
      <c r="P53" s="183">
        <f>O53/$L53*100</f>
        <v>24.765779092702171</v>
      </c>
      <c r="Q53" s="28">
        <v>2967</v>
      </c>
      <c r="R53" s="15"/>
      <c r="S53" s="38">
        <f t="shared" si="84"/>
        <v>2967</v>
      </c>
      <c r="T53" s="199">
        <f t="shared" si="85"/>
        <v>48.767258382643</v>
      </c>
      <c r="U53" s="28">
        <v>4555.5</v>
      </c>
      <c r="V53" s="15"/>
      <c r="W53" s="38">
        <f t="shared" si="86"/>
        <v>4555.5</v>
      </c>
      <c r="X53" s="206">
        <f t="shared" si="92"/>
        <v>74.876725838264306</v>
      </c>
      <c r="Y53" s="28">
        <f>6074+10</f>
        <v>6084</v>
      </c>
      <c r="Z53" s="15"/>
      <c r="AA53" s="38">
        <f t="shared" si="87"/>
        <v>6084</v>
      </c>
      <c r="AB53" s="191">
        <f t="shared" si="88"/>
        <v>100</v>
      </c>
      <c r="AC53" s="319">
        <f t="shared" si="89"/>
        <v>0</v>
      </c>
      <c r="AD53" s="338">
        <f>4591.5+2581.5+88</f>
        <v>7261</v>
      </c>
      <c r="AE53" s="338"/>
      <c r="AF53" s="138">
        <f t="shared" si="90"/>
        <v>7261</v>
      </c>
      <c r="AG53" s="191">
        <f t="shared" si="91"/>
        <v>122.36265588136163</v>
      </c>
      <c r="AH53" s="146" t="s">
        <v>368</v>
      </c>
      <c r="AI53" s="544" t="s">
        <v>183</v>
      </c>
      <c r="AJ53" s="351" t="s">
        <v>355</v>
      </c>
    </row>
    <row r="54" spans="1:171" x14ac:dyDescent="0.2">
      <c r="A54" s="67"/>
      <c r="B54" s="22">
        <v>3392</v>
      </c>
      <c r="C54" s="22" t="s">
        <v>217</v>
      </c>
      <c r="D54" s="57" t="s">
        <v>216</v>
      </c>
      <c r="E54" s="28">
        <v>655</v>
      </c>
      <c r="F54" s="15"/>
      <c r="G54" s="38">
        <f t="shared" si="80"/>
        <v>655</v>
      </c>
      <c r="H54" s="28"/>
      <c r="I54" s="38"/>
      <c r="J54" s="28">
        <f t="shared" si="81"/>
        <v>655</v>
      </c>
      <c r="K54" s="15"/>
      <c r="L54" s="38">
        <f t="shared" si="82"/>
        <v>655</v>
      </c>
      <c r="M54" s="28">
        <v>0</v>
      </c>
      <c r="N54" s="15"/>
      <c r="O54" s="38">
        <f t="shared" si="83"/>
        <v>0</v>
      </c>
      <c r="P54" s="183">
        <f>O54/$L54*100</f>
        <v>0</v>
      </c>
      <c r="Q54" s="28"/>
      <c r="R54" s="15"/>
      <c r="S54" s="38">
        <f t="shared" si="84"/>
        <v>0</v>
      </c>
      <c r="T54" s="199">
        <f t="shared" si="85"/>
        <v>0</v>
      </c>
      <c r="U54" s="28">
        <v>654.59900000000005</v>
      </c>
      <c r="V54" s="15"/>
      <c r="W54" s="38">
        <f t="shared" si="86"/>
        <v>654.59900000000005</v>
      </c>
      <c r="X54" s="206">
        <f t="shared" si="92"/>
        <v>99.9387786259542</v>
      </c>
      <c r="Y54" s="28">
        <v>654.59900000000005</v>
      </c>
      <c r="Z54" s="15"/>
      <c r="AA54" s="38">
        <f t="shared" si="87"/>
        <v>654.59900000000005</v>
      </c>
      <c r="AB54" s="191">
        <f t="shared" si="88"/>
        <v>99.9387786259542</v>
      </c>
      <c r="AC54" s="319">
        <f t="shared" si="89"/>
        <v>0.40099999999995362</v>
      </c>
      <c r="AD54" s="332">
        <v>655</v>
      </c>
      <c r="AE54" s="338"/>
      <c r="AF54" s="138">
        <f t="shared" si="90"/>
        <v>655</v>
      </c>
      <c r="AG54" s="191">
        <f t="shared" si="91"/>
        <v>100</v>
      </c>
      <c r="AH54" s="146"/>
      <c r="AI54" s="544" t="s">
        <v>183</v>
      </c>
      <c r="AJ54" s="351" t="s">
        <v>355</v>
      </c>
    </row>
    <row r="55" spans="1:171" x14ac:dyDescent="0.2">
      <c r="A55" s="67"/>
      <c r="B55" s="22">
        <v>3392</v>
      </c>
      <c r="C55" s="22">
        <v>312</v>
      </c>
      <c r="D55" s="57" t="s">
        <v>352</v>
      </c>
      <c r="E55" s="28">
        <v>1100</v>
      </c>
      <c r="F55" s="15"/>
      <c r="G55" s="38">
        <f t="shared" si="80"/>
        <v>1100</v>
      </c>
      <c r="H55" s="28"/>
      <c r="I55" s="38"/>
      <c r="J55" s="28">
        <f t="shared" si="81"/>
        <v>1100</v>
      </c>
      <c r="K55" s="15"/>
      <c r="L55" s="38">
        <f t="shared" si="82"/>
        <v>1100</v>
      </c>
      <c r="M55" s="28">
        <v>0</v>
      </c>
      <c r="N55" s="15"/>
      <c r="O55" s="38">
        <f t="shared" ref="O55:O56" si="93">M55+N55</f>
        <v>0</v>
      </c>
      <c r="P55" s="183">
        <f t="shared" ref="P55:P56" si="94">O55/$L55*100</f>
        <v>0</v>
      </c>
      <c r="Q55" s="28"/>
      <c r="R55" s="15"/>
      <c r="S55" s="38">
        <f t="shared" ref="S55:S56" si="95">Q55+R55</f>
        <v>0</v>
      </c>
      <c r="T55" s="199">
        <f t="shared" ref="T55:T56" si="96">S55/$L55*100</f>
        <v>0</v>
      </c>
      <c r="U55" s="28">
        <v>225.47059999999999</v>
      </c>
      <c r="V55" s="15"/>
      <c r="W55" s="38">
        <f t="shared" ref="W55:W56" si="97">U55+V55</f>
        <v>225.47059999999999</v>
      </c>
      <c r="X55" s="206">
        <f t="shared" ref="X55:X56" si="98">W55/$L55*100</f>
        <v>20.497327272727272</v>
      </c>
      <c r="Y55" s="28">
        <v>225.47059999999999</v>
      </c>
      <c r="Z55" s="15"/>
      <c r="AA55" s="38">
        <f t="shared" si="87"/>
        <v>225.47059999999999</v>
      </c>
      <c r="AB55" s="191">
        <f t="shared" ref="AB55:AB56" si="99">AA55/$L55*100</f>
        <v>20.497327272727272</v>
      </c>
      <c r="AC55" s="319">
        <f t="shared" si="89"/>
        <v>874.52940000000001</v>
      </c>
      <c r="AD55" s="332">
        <v>500</v>
      </c>
      <c r="AE55" s="338"/>
      <c r="AF55" s="138">
        <f t="shared" si="90"/>
        <v>500</v>
      </c>
      <c r="AG55" s="191">
        <f t="shared" si="91"/>
        <v>45.454545454545453</v>
      </c>
      <c r="AH55" s="146"/>
      <c r="AI55" s="544" t="s">
        <v>183</v>
      </c>
      <c r="AJ55" s="351" t="s">
        <v>355</v>
      </c>
    </row>
    <row r="56" spans="1:171" x14ac:dyDescent="0.2">
      <c r="A56" s="67"/>
      <c r="B56" s="22">
        <v>3392</v>
      </c>
      <c r="C56" s="22">
        <v>312</v>
      </c>
      <c r="D56" s="57" t="s">
        <v>406</v>
      </c>
      <c r="E56" s="28">
        <f>935-88</f>
        <v>847</v>
      </c>
      <c r="F56" s="15"/>
      <c r="G56" s="38">
        <f t="shared" si="80"/>
        <v>847</v>
      </c>
      <c r="H56" s="28">
        <v>1250</v>
      </c>
      <c r="I56" s="38"/>
      <c r="J56" s="28">
        <f t="shared" si="81"/>
        <v>2097</v>
      </c>
      <c r="K56" s="15"/>
      <c r="L56" s="38">
        <f t="shared" si="82"/>
        <v>2097</v>
      </c>
      <c r="M56" s="28">
        <v>335.01985999999999</v>
      </c>
      <c r="N56" s="15"/>
      <c r="O56" s="38">
        <f t="shared" si="93"/>
        <v>335.01985999999999</v>
      </c>
      <c r="P56" s="183">
        <f t="shared" si="94"/>
        <v>15.976149737720553</v>
      </c>
      <c r="Q56" s="28">
        <v>335.01985999999999</v>
      </c>
      <c r="R56" s="15"/>
      <c r="S56" s="38">
        <f t="shared" si="95"/>
        <v>335.01985999999999</v>
      </c>
      <c r="T56" s="199">
        <f t="shared" si="96"/>
        <v>15.976149737720553</v>
      </c>
      <c r="U56" s="214">
        <f>288.432+559.65086</f>
        <v>848.08285999999998</v>
      </c>
      <c r="V56" s="15"/>
      <c r="W56" s="38">
        <f t="shared" si="97"/>
        <v>848.08285999999998</v>
      </c>
      <c r="X56" s="206">
        <f t="shared" si="98"/>
        <v>40.442673342870769</v>
      </c>
      <c r="Y56" s="28">
        <f>693.15786+919.2929</f>
        <v>1612.4507600000002</v>
      </c>
      <c r="Z56" s="15"/>
      <c r="AA56" s="38">
        <f t="shared" si="87"/>
        <v>1612.4507600000002</v>
      </c>
      <c r="AB56" s="191">
        <f t="shared" si="99"/>
        <v>76.893216976633298</v>
      </c>
      <c r="AC56" s="319">
        <f t="shared" si="89"/>
        <v>484.54923999999983</v>
      </c>
      <c r="AD56" s="332">
        <v>950</v>
      </c>
      <c r="AE56" s="338"/>
      <c r="AF56" s="138">
        <f t="shared" si="90"/>
        <v>950</v>
      </c>
      <c r="AG56" s="191">
        <f t="shared" si="91"/>
        <v>112.16056670602126</v>
      </c>
      <c r="AH56" s="146" t="s">
        <v>428</v>
      </c>
      <c r="AI56" s="544" t="s">
        <v>183</v>
      </c>
      <c r="AJ56" s="351" t="s">
        <v>355</v>
      </c>
    </row>
    <row r="57" spans="1:171" x14ac:dyDescent="0.2">
      <c r="A57" s="67"/>
      <c r="B57" s="22">
        <v>3399</v>
      </c>
      <c r="C57" s="22">
        <v>313</v>
      </c>
      <c r="D57" s="57" t="s">
        <v>99</v>
      </c>
      <c r="E57" s="28">
        <f>125+15</f>
        <v>140</v>
      </c>
      <c r="F57" s="15"/>
      <c r="G57" s="38">
        <f>E57+F57</f>
        <v>140</v>
      </c>
      <c r="H57" s="43"/>
      <c r="I57" s="57"/>
      <c r="J57" s="28">
        <f t="shared" si="81"/>
        <v>140</v>
      </c>
      <c r="K57" s="15"/>
      <c r="L57" s="38">
        <f t="shared" si="82"/>
        <v>140</v>
      </c>
      <c r="M57" s="28">
        <v>8.77</v>
      </c>
      <c r="N57" s="15"/>
      <c r="O57" s="38">
        <f>M57+N57</f>
        <v>8.77</v>
      </c>
      <c r="P57" s="183">
        <f t="shared" ref="P57:P65" si="100">O57/$L57*100</f>
        <v>6.2642857142857142</v>
      </c>
      <c r="Q57" s="28">
        <v>30.331</v>
      </c>
      <c r="R57" s="15"/>
      <c r="S57" s="38">
        <f>Q57+R57</f>
        <v>30.331</v>
      </c>
      <c r="T57" s="199">
        <f t="shared" si="6"/>
        <v>21.664999999999999</v>
      </c>
      <c r="U57" s="28">
        <v>40.566000000000003</v>
      </c>
      <c r="V57" s="15"/>
      <c r="W57" s="38">
        <f>U57+V57</f>
        <v>40.566000000000003</v>
      </c>
      <c r="X57" s="206">
        <f t="shared" si="8"/>
        <v>28.97571428571429</v>
      </c>
      <c r="Y57" s="28">
        <v>98.218000000000004</v>
      </c>
      <c r="Z57" s="15"/>
      <c r="AA57" s="38">
        <f t="shared" si="87"/>
        <v>98.218000000000004</v>
      </c>
      <c r="AB57" s="191">
        <f t="shared" si="10"/>
        <v>70.155714285714282</v>
      </c>
      <c r="AC57" s="319">
        <f t="shared" si="89"/>
        <v>41.781999999999996</v>
      </c>
      <c r="AD57" s="338">
        <f>157+15</f>
        <v>172</v>
      </c>
      <c r="AE57" s="338"/>
      <c r="AF57" s="138">
        <f>AD57+AE57</f>
        <v>172</v>
      </c>
      <c r="AG57" s="191">
        <f t="shared" ref="AG57:AG65" si="101">AF57/$G57*100</f>
        <v>122.85714285714286</v>
      </c>
      <c r="AH57" s="146" t="s">
        <v>242</v>
      </c>
      <c r="AI57" s="346" t="s">
        <v>233</v>
      </c>
      <c r="AJ57" s="579" t="s">
        <v>330</v>
      </c>
    </row>
    <row r="58" spans="1:171" x14ac:dyDescent="0.2">
      <c r="A58" s="75">
        <v>34</v>
      </c>
      <c r="B58" s="20">
        <v>3400</v>
      </c>
      <c r="C58" s="20"/>
      <c r="D58" s="167" t="s">
        <v>73</v>
      </c>
      <c r="E58" s="165">
        <f t="shared" ref="E58:O58" si="102">SUM(E59:E65)</f>
        <v>6452</v>
      </c>
      <c r="F58" s="40">
        <f t="shared" si="102"/>
        <v>6700</v>
      </c>
      <c r="G58" s="41">
        <f t="shared" si="102"/>
        <v>13152</v>
      </c>
      <c r="H58" s="39">
        <f t="shared" si="102"/>
        <v>0</v>
      </c>
      <c r="I58" s="41">
        <f t="shared" si="102"/>
        <v>210</v>
      </c>
      <c r="J58" s="39">
        <f t="shared" si="102"/>
        <v>6452</v>
      </c>
      <c r="K58" s="40">
        <f>SUM(K59:K65)</f>
        <v>6910</v>
      </c>
      <c r="L58" s="41">
        <f t="shared" si="102"/>
        <v>13362</v>
      </c>
      <c r="M58" s="39">
        <f t="shared" si="102"/>
        <v>1432.3316</v>
      </c>
      <c r="N58" s="40">
        <f t="shared" si="102"/>
        <v>0</v>
      </c>
      <c r="O58" s="41">
        <f t="shared" si="102"/>
        <v>1432.3316</v>
      </c>
      <c r="P58" s="184">
        <f t="shared" si="100"/>
        <v>10.719440203562341</v>
      </c>
      <c r="Q58" s="39">
        <f>SUM(Q59:Q65)</f>
        <v>3667.08439</v>
      </c>
      <c r="R58" s="40">
        <f>SUM(R59:R65)</f>
        <v>1300</v>
      </c>
      <c r="S58" s="41">
        <f>SUM(S59:S65)</f>
        <v>4967.08439</v>
      </c>
      <c r="T58" s="200">
        <f t="shared" si="6"/>
        <v>37.173210522376884</v>
      </c>
      <c r="U58" s="39">
        <f>SUM(U59:U65)</f>
        <v>5018.0298600000006</v>
      </c>
      <c r="V58" s="40">
        <f>SUM(V59:V65)</f>
        <v>1300</v>
      </c>
      <c r="W58" s="41">
        <f>SUM(W59:W65)</f>
        <v>6318.0298599999996</v>
      </c>
      <c r="X58" s="207">
        <f t="shared" si="8"/>
        <v>47.283564286783417</v>
      </c>
      <c r="Y58" s="39">
        <f>SUM(Y59:Y65)</f>
        <v>6453.8219399999998</v>
      </c>
      <c r="Z58" s="40">
        <f>SUM(Z59:Z65)</f>
        <v>1820.3</v>
      </c>
      <c r="AA58" s="41">
        <f>SUM(AA59:AA65)</f>
        <v>8274.1219400000009</v>
      </c>
      <c r="AB58" s="385">
        <f t="shared" si="10"/>
        <v>61.922780571770694</v>
      </c>
      <c r="AC58" s="320">
        <f>SUM(AC59:AC65)</f>
        <v>5087.87806</v>
      </c>
      <c r="AD58" s="336">
        <f>SUM(AD59:AD65)</f>
        <v>8619</v>
      </c>
      <c r="AE58" s="337">
        <f>SUM(AE59:AE65)</f>
        <v>1390</v>
      </c>
      <c r="AF58" s="174">
        <f>SUM(AF59:AF65)</f>
        <v>10009</v>
      </c>
      <c r="AG58" s="385">
        <f t="shared" si="101"/>
        <v>76.102493917274941</v>
      </c>
      <c r="AH58" s="147"/>
      <c r="AI58" s="581"/>
      <c r="AJ58" s="578"/>
    </row>
    <row r="59" spans="1:171" ht="13.5" customHeight="1" x14ac:dyDescent="0.2">
      <c r="A59" s="67"/>
      <c r="B59" s="22">
        <v>3412</v>
      </c>
      <c r="C59" s="22">
        <v>506</v>
      </c>
      <c r="D59" s="57" t="s">
        <v>272</v>
      </c>
      <c r="E59" s="28">
        <v>5230</v>
      </c>
      <c r="F59" s="15"/>
      <c r="G59" s="38">
        <f t="shared" ref="G59:G65" si="103">E59+F59</f>
        <v>5230</v>
      </c>
      <c r="H59" s="28"/>
      <c r="I59" s="57"/>
      <c r="J59" s="28">
        <f t="shared" ref="J59:J65" si="104">E59+H59</f>
        <v>5230</v>
      </c>
      <c r="K59" s="15">
        <f t="shared" ref="K59:K63" si="105">F59+I59</f>
        <v>0</v>
      </c>
      <c r="L59" s="38">
        <f t="shared" ref="L59:L65" si="106">SUM(J59:K59)</f>
        <v>5230</v>
      </c>
      <c r="M59" s="28">
        <v>1307.5</v>
      </c>
      <c r="N59" s="15"/>
      <c r="O59" s="38">
        <f t="shared" ref="O59:O61" si="107">M59+N59</f>
        <v>1307.5</v>
      </c>
      <c r="P59" s="183">
        <f t="shared" si="100"/>
        <v>25</v>
      </c>
      <c r="Q59" s="28">
        <v>2615</v>
      </c>
      <c r="R59" s="15"/>
      <c r="S59" s="38">
        <f t="shared" ref="S59:S61" si="108">Q59+R59</f>
        <v>2615</v>
      </c>
      <c r="T59" s="199">
        <f t="shared" si="6"/>
        <v>50</v>
      </c>
      <c r="U59" s="28">
        <v>3922.5</v>
      </c>
      <c r="V59" s="15"/>
      <c r="W59" s="38">
        <f t="shared" ref="W59:W61" si="109">U59+V59</f>
        <v>3922.5</v>
      </c>
      <c r="X59" s="206">
        <f t="shared" si="8"/>
        <v>75</v>
      </c>
      <c r="Y59" s="28">
        <v>5230</v>
      </c>
      <c r="Z59" s="15"/>
      <c r="AA59" s="38">
        <f t="shared" ref="AA59:AA65" si="110">Y59+Z59</f>
        <v>5230</v>
      </c>
      <c r="AB59" s="191">
        <f t="shared" si="10"/>
        <v>100</v>
      </c>
      <c r="AC59" s="319">
        <f t="shared" ref="AC59:AC65" si="111">L59-AA59</f>
        <v>0</v>
      </c>
      <c r="AD59" s="332">
        <v>7100</v>
      </c>
      <c r="AE59" s="338"/>
      <c r="AF59" s="138">
        <f t="shared" ref="AF59:AF65" si="112">AD59+AE59</f>
        <v>7100</v>
      </c>
      <c r="AG59" s="191">
        <f t="shared" si="101"/>
        <v>135.75525812619503</v>
      </c>
      <c r="AH59" s="146" t="s">
        <v>460</v>
      </c>
      <c r="AI59" s="544" t="s">
        <v>183</v>
      </c>
      <c r="AJ59" s="351" t="s">
        <v>355</v>
      </c>
    </row>
    <row r="60" spans="1:171" ht="13.5" customHeight="1" x14ac:dyDescent="0.2">
      <c r="A60" s="67"/>
      <c r="B60" s="22">
        <v>3412</v>
      </c>
      <c r="C60" s="22">
        <v>506</v>
      </c>
      <c r="D60" s="57" t="s">
        <v>381</v>
      </c>
      <c r="E60" s="28"/>
      <c r="F60" s="15">
        <v>6300</v>
      </c>
      <c r="G60" s="38">
        <f t="shared" si="103"/>
        <v>6300</v>
      </c>
      <c r="H60" s="28"/>
      <c r="I60" s="57"/>
      <c r="J60" s="28">
        <f t="shared" si="104"/>
        <v>0</v>
      </c>
      <c r="K60" s="15">
        <f t="shared" si="105"/>
        <v>6300</v>
      </c>
      <c r="L60" s="38">
        <f t="shared" si="106"/>
        <v>6300</v>
      </c>
      <c r="M60" s="28">
        <v>0</v>
      </c>
      <c r="N60" s="15"/>
      <c r="O60" s="38">
        <f t="shared" si="107"/>
        <v>0</v>
      </c>
      <c r="P60" s="183">
        <f t="shared" si="100"/>
        <v>0</v>
      </c>
      <c r="Q60" s="28"/>
      <c r="R60" s="15">
        <v>1300</v>
      </c>
      <c r="S60" s="38">
        <f t="shared" si="108"/>
        <v>1300</v>
      </c>
      <c r="T60" s="199">
        <f t="shared" si="6"/>
        <v>20.634920634920633</v>
      </c>
      <c r="U60" s="28"/>
      <c r="V60" s="15">
        <v>1300</v>
      </c>
      <c r="W60" s="38">
        <f t="shared" si="109"/>
        <v>1300</v>
      </c>
      <c r="X60" s="206">
        <f t="shared" si="8"/>
        <v>20.634920634920633</v>
      </c>
      <c r="Y60" s="28"/>
      <c r="Z60" s="15">
        <v>1300</v>
      </c>
      <c r="AA60" s="38">
        <f t="shared" si="110"/>
        <v>1300</v>
      </c>
      <c r="AB60" s="191">
        <f t="shared" si="10"/>
        <v>20.634920634920633</v>
      </c>
      <c r="AC60" s="319">
        <f t="shared" si="111"/>
        <v>5000</v>
      </c>
      <c r="AD60" s="332"/>
      <c r="AE60" s="339">
        <v>1300</v>
      </c>
      <c r="AF60" s="138">
        <f t="shared" si="112"/>
        <v>1300</v>
      </c>
      <c r="AG60" s="191">
        <f t="shared" si="101"/>
        <v>20.634920634920633</v>
      </c>
      <c r="AH60" s="146" t="s">
        <v>328</v>
      </c>
      <c r="AI60" s="544" t="s">
        <v>183</v>
      </c>
      <c r="AJ60" s="351" t="s">
        <v>355</v>
      </c>
    </row>
    <row r="61" spans="1:171" ht="13.5" customHeight="1" x14ac:dyDescent="0.2">
      <c r="A61" s="67"/>
      <c r="B61" s="22">
        <v>3412</v>
      </c>
      <c r="C61" s="22">
        <v>216</v>
      </c>
      <c r="D61" s="57" t="s">
        <v>275</v>
      </c>
      <c r="E61" s="28">
        <v>197</v>
      </c>
      <c r="F61" s="15"/>
      <c r="G61" s="38">
        <f t="shared" si="103"/>
        <v>197</v>
      </c>
      <c r="H61" s="28"/>
      <c r="I61" s="57"/>
      <c r="J61" s="28">
        <f t="shared" si="104"/>
        <v>197</v>
      </c>
      <c r="K61" s="15">
        <f t="shared" si="105"/>
        <v>0</v>
      </c>
      <c r="L61" s="38">
        <f t="shared" si="106"/>
        <v>197</v>
      </c>
      <c r="M61" s="28">
        <v>54.831600000000002</v>
      </c>
      <c r="N61" s="15"/>
      <c r="O61" s="38">
        <f t="shared" si="107"/>
        <v>54.831600000000002</v>
      </c>
      <c r="P61" s="183">
        <f t="shared" si="100"/>
        <v>27.833299492385787</v>
      </c>
      <c r="Q61" s="28">
        <v>102.08439</v>
      </c>
      <c r="R61" s="15"/>
      <c r="S61" s="38">
        <f t="shared" si="108"/>
        <v>102.08439</v>
      </c>
      <c r="T61" s="199">
        <f t="shared" si="6"/>
        <v>51.819487309644671</v>
      </c>
      <c r="U61" s="28">
        <v>145.52986000000001</v>
      </c>
      <c r="V61" s="15"/>
      <c r="W61" s="38">
        <f t="shared" si="109"/>
        <v>145.52986000000001</v>
      </c>
      <c r="X61" s="206">
        <f t="shared" si="8"/>
        <v>73.873025380710672</v>
      </c>
      <c r="Y61" s="28">
        <v>198.82194000000001</v>
      </c>
      <c r="Z61" s="15"/>
      <c r="AA61" s="38">
        <f t="shared" si="110"/>
        <v>198.82194000000001</v>
      </c>
      <c r="AB61" s="191">
        <f t="shared" ref="AB61:AB67" si="113">AA61/$L61*100</f>
        <v>100.92484263959392</v>
      </c>
      <c r="AC61" s="319">
        <f t="shared" si="111"/>
        <v>-1.8219400000000121</v>
      </c>
      <c r="AD61" s="332">
        <v>303</v>
      </c>
      <c r="AE61" s="338"/>
      <c r="AF61" s="138">
        <f t="shared" si="112"/>
        <v>303</v>
      </c>
      <c r="AG61" s="191">
        <f t="shared" si="101"/>
        <v>153.80710659898477</v>
      </c>
      <c r="AH61" s="146"/>
      <c r="AI61" s="332" t="s">
        <v>261</v>
      </c>
      <c r="AJ61" s="583" t="s">
        <v>68</v>
      </c>
    </row>
    <row r="62" spans="1:171" ht="13.5" customHeight="1" x14ac:dyDescent="0.2">
      <c r="A62" s="67"/>
      <c r="B62" s="22">
        <v>3412</v>
      </c>
      <c r="C62" s="179">
        <v>215</v>
      </c>
      <c r="D62" s="180" t="s">
        <v>362</v>
      </c>
      <c r="E62" s="28"/>
      <c r="F62" s="15">
        <v>400</v>
      </c>
      <c r="G62" s="38">
        <f t="shared" si="103"/>
        <v>400</v>
      </c>
      <c r="H62" s="28"/>
      <c r="I62" s="57">
        <v>210</v>
      </c>
      <c r="J62" s="28">
        <f t="shared" si="104"/>
        <v>0</v>
      </c>
      <c r="K62" s="15">
        <f t="shared" ref="K62" si="114">F62+I62</f>
        <v>610</v>
      </c>
      <c r="L62" s="38">
        <f t="shared" si="106"/>
        <v>610</v>
      </c>
      <c r="M62" s="28">
        <v>0</v>
      </c>
      <c r="N62" s="15"/>
      <c r="O62" s="38">
        <f t="shared" ref="O62" si="115">M62+N62</f>
        <v>0</v>
      </c>
      <c r="P62" s="183">
        <f t="shared" ref="P62" si="116">O62/$L62*100</f>
        <v>0</v>
      </c>
      <c r="Q62" s="28"/>
      <c r="R62" s="15"/>
      <c r="S62" s="38">
        <f t="shared" ref="S62" si="117">Q62+R62</f>
        <v>0</v>
      </c>
      <c r="T62" s="199">
        <f t="shared" ref="T62" si="118">S62/$L62*100</f>
        <v>0</v>
      </c>
      <c r="U62" s="28"/>
      <c r="V62" s="15"/>
      <c r="W62" s="38">
        <f t="shared" ref="W62" si="119">U62+V62</f>
        <v>0</v>
      </c>
      <c r="X62" s="206">
        <f t="shared" ref="X62" si="120">W62/$L62*100</f>
        <v>0</v>
      </c>
      <c r="Y62" s="28"/>
      <c r="Z62" s="10">
        <v>520.29999999999995</v>
      </c>
      <c r="AA62" s="38">
        <f t="shared" si="110"/>
        <v>520.29999999999995</v>
      </c>
      <c r="AB62" s="191">
        <f t="shared" ref="AB62" si="121">AA62/$L62*100</f>
        <v>85.295081967213108</v>
      </c>
      <c r="AC62" s="319">
        <f t="shared" si="111"/>
        <v>89.700000000000045</v>
      </c>
      <c r="AD62" s="332"/>
      <c r="AE62" s="338">
        <v>90</v>
      </c>
      <c r="AF62" s="138">
        <f t="shared" si="112"/>
        <v>90</v>
      </c>
      <c r="AG62" s="191"/>
      <c r="AH62" s="146"/>
      <c r="AI62" s="332" t="s">
        <v>254</v>
      </c>
      <c r="AJ62" s="583" t="s">
        <v>113</v>
      </c>
    </row>
    <row r="63" spans="1:171" ht="13.5" customHeight="1" x14ac:dyDescent="0.2">
      <c r="A63" s="67"/>
      <c r="B63" s="22">
        <v>3419</v>
      </c>
      <c r="C63" s="22">
        <v>105</v>
      </c>
      <c r="D63" s="57" t="s">
        <v>288</v>
      </c>
      <c r="E63" s="28">
        <v>45</v>
      </c>
      <c r="F63" s="15"/>
      <c r="G63" s="38">
        <f t="shared" si="103"/>
        <v>45</v>
      </c>
      <c r="H63" s="310"/>
      <c r="I63" s="57"/>
      <c r="J63" s="28">
        <f t="shared" si="104"/>
        <v>45</v>
      </c>
      <c r="K63" s="15">
        <f t="shared" si="105"/>
        <v>0</v>
      </c>
      <c r="L63" s="38">
        <f t="shared" si="106"/>
        <v>45</v>
      </c>
      <c r="M63" s="28">
        <v>0</v>
      </c>
      <c r="N63" s="15"/>
      <c r="O63" s="38">
        <f t="shared" ref="O63:O65" si="122">M63+N63</f>
        <v>0</v>
      </c>
      <c r="P63" s="183">
        <f t="shared" si="100"/>
        <v>0</v>
      </c>
      <c r="Q63" s="28"/>
      <c r="R63" s="15"/>
      <c r="S63" s="38">
        <f t="shared" ref="S63:S65" si="123">Q63+R63</f>
        <v>0</v>
      </c>
      <c r="T63" s="199">
        <f t="shared" si="6"/>
        <v>0</v>
      </c>
      <c r="U63" s="28"/>
      <c r="V63" s="15"/>
      <c r="W63" s="38">
        <f t="shared" ref="W63:W65" si="124">U63+V63</f>
        <v>0</v>
      </c>
      <c r="X63" s="206">
        <f>W63/$L63*100</f>
        <v>0</v>
      </c>
      <c r="Y63" s="28">
        <v>45</v>
      </c>
      <c r="Z63" s="15"/>
      <c r="AA63" s="38">
        <f t="shared" si="110"/>
        <v>45</v>
      </c>
      <c r="AB63" s="191">
        <f t="shared" si="113"/>
        <v>100</v>
      </c>
      <c r="AC63" s="319">
        <f t="shared" si="111"/>
        <v>0</v>
      </c>
      <c r="AD63" s="332">
        <v>45</v>
      </c>
      <c r="AE63" s="338"/>
      <c r="AF63" s="138">
        <f t="shared" si="112"/>
        <v>45</v>
      </c>
      <c r="AG63" s="191">
        <f t="shared" si="101"/>
        <v>100</v>
      </c>
      <c r="AH63" s="146" t="s">
        <v>579</v>
      </c>
      <c r="AI63" s="544" t="s">
        <v>284</v>
      </c>
      <c r="AJ63" s="351" t="s">
        <v>355</v>
      </c>
    </row>
    <row r="64" spans="1:171" ht="13.5" customHeight="1" x14ac:dyDescent="0.2">
      <c r="A64" s="67"/>
      <c r="B64" s="22">
        <v>3419</v>
      </c>
      <c r="C64" s="22">
        <v>104</v>
      </c>
      <c r="D64" s="57" t="s">
        <v>281</v>
      </c>
      <c r="E64" s="28">
        <f>50+30+20</f>
        <v>100</v>
      </c>
      <c r="F64" s="15"/>
      <c r="G64" s="38">
        <f t="shared" si="103"/>
        <v>100</v>
      </c>
      <c r="H64" s="310"/>
      <c r="I64" s="57"/>
      <c r="J64" s="28">
        <f t="shared" si="104"/>
        <v>100</v>
      </c>
      <c r="K64" s="15"/>
      <c r="L64" s="38">
        <f t="shared" si="106"/>
        <v>100</v>
      </c>
      <c r="M64" s="28">
        <v>70</v>
      </c>
      <c r="N64" s="15"/>
      <c r="O64" s="38">
        <f t="shared" si="122"/>
        <v>70</v>
      </c>
      <c r="P64" s="183"/>
      <c r="Q64" s="28">
        <v>70</v>
      </c>
      <c r="R64" s="15"/>
      <c r="S64" s="38">
        <f t="shared" si="123"/>
        <v>70</v>
      </c>
      <c r="T64" s="199">
        <f t="shared" si="6"/>
        <v>70</v>
      </c>
      <c r="U64" s="28">
        <v>70</v>
      </c>
      <c r="V64" s="15"/>
      <c r="W64" s="38">
        <f t="shared" si="124"/>
        <v>70</v>
      </c>
      <c r="X64" s="206">
        <f>W64/$L64*100</f>
        <v>70</v>
      </c>
      <c r="Y64" s="28">
        <v>100</v>
      </c>
      <c r="Z64" s="15"/>
      <c r="AA64" s="38">
        <f t="shared" si="110"/>
        <v>100</v>
      </c>
      <c r="AB64" s="191">
        <f t="shared" si="113"/>
        <v>100</v>
      </c>
      <c r="AC64" s="319">
        <f t="shared" si="111"/>
        <v>0</v>
      </c>
      <c r="AD64" s="332">
        <v>100</v>
      </c>
      <c r="AE64" s="338"/>
      <c r="AF64" s="138">
        <f t="shared" si="112"/>
        <v>100</v>
      </c>
      <c r="AG64" s="191">
        <f t="shared" si="101"/>
        <v>100</v>
      </c>
      <c r="AH64" s="146"/>
      <c r="AI64" s="544" t="s">
        <v>284</v>
      </c>
      <c r="AJ64" s="351" t="s">
        <v>355</v>
      </c>
    </row>
    <row r="65" spans="1:36" ht="12.75" customHeight="1" x14ac:dyDescent="0.2">
      <c r="A65" s="67"/>
      <c r="B65" s="22">
        <v>3421</v>
      </c>
      <c r="C65" s="22">
        <v>105</v>
      </c>
      <c r="D65" s="57" t="s">
        <v>280</v>
      </c>
      <c r="E65" s="15">
        <f>290+400+190</f>
        <v>880</v>
      </c>
      <c r="F65" s="15"/>
      <c r="G65" s="38">
        <f t="shared" si="103"/>
        <v>880</v>
      </c>
      <c r="H65" s="28"/>
      <c r="I65" s="57"/>
      <c r="J65" s="28">
        <f t="shared" si="104"/>
        <v>880</v>
      </c>
      <c r="K65" s="15"/>
      <c r="L65" s="38">
        <f t="shared" si="106"/>
        <v>880</v>
      </c>
      <c r="M65" s="28">
        <v>0</v>
      </c>
      <c r="N65" s="15"/>
      <c r="O65" s="38">
        <f t="shared" si="122"/>
        <v>0</v>
      </c>
      <c r="P65" s="183">
        <f t="shared" si="100"/>
        <v>0</v>
      </c>
      <c r="Q65" s="28">
        <v>880</v>
      </c>
      <c r="R65" s="15"/>
      <c r="S65" s="38">
        <f t="shared" si="123"/>
        <v>880</v>
      </c>
      <c r="T65" s="199">
        <f>S65/$L65*100</f>
        <v>100</v>
      </c>
      <c r="U65" s="28">
        <v>880</v>
      </c>
      <c r="V65" s="15"/>
      <c r="W65" s="38">
        <f t="shared" si="124"/>
        <v>880</v>
      </c>
      <c r="X65" s="210">
        <f>W65/$L65*100</f>
        <v>100</v>
      </c>
      <c r="Y65" s="28">
        <v>880</v>
      </c>
      <c r="Z65" s="15"/>
      <c r="AA65" s="38">
        <f t="shared" si="110"/>
        <v>880</v>
      </c>
      <c r="AB65" s="390">
        <f t="shared" si="113"/>
        <v>100</v>
      </c>
      <c r="AC65" s="319">
        <f t="shared" si="111"/>
        <v>0</v>
      </c>
      <c r="AD65" s="338">
        <v>1071</v>
      </c>
      <c r="AE65" s="338"/>
      <c r="AF65" s="138">
        <f t="shared" si="112"/>
        <v>1071</v>
      </c>
      <c r="AG65" s="191">
        <f t="shared" si="101"/>
        <v>121.70454545454545</v>
      </c>
      <c r="AH65" s="146" t="s">
        <v>557</v>
      </c>
      <c r="AI65" s="544" t="s">
        <v>284</v>
      </c>
      <c r="AJ65" s="351" t="s">
        <v>355</v>
      </c>
    </row>
    <row r="66" spans="1:36" x14ac:dyDescent="0.2">
      <c r="A66" s="75">
        <v>35</v>
      </c>
      <c r="B66" s="20">
        <v>3500</v>
      </c>
      <c r="C66" s="20"/>
      <c r="D66" s="167" t="s">
        <v>111</v>
      </c>
      <c r="E66" s="165">
        <f t="shared" ref="E66:G66" si="125">SUM(E67:E67)</f>
        <v>0</v>
      </c>
      <c r="F66" s="40">
        <f t="shared" si="125"/>
        <v>13309</v>
      </c>
      <c r="G66" s="41">
        <f t="shared" si="125"/>
        <v>13309</v>
      </c>
      <c r="H66" s="39">
        <f t="shared" ref="H66:AA66" si="126">SUM(H67:H67)</f>
        <v>0</v>
      </c>
      <c r="I66" s="41">
        <f t="shared" si="126"/>
        <v>0</v>
      </c>
      <c r="J66" s="39">
        <f t="shared" si="126"/>
        <v>0</v>
      </c>
      <c r="K66" s="40">
        <f t="shared" si="126"/>
        <v>13309</v>
      </c>
      <c r="L66" s="41">
        <f t="shared" si="126"/>
        <v>13309</v>
      </c>
      <c r="M66" s="39">
        <f t="shared" si="126"/>
        <v>0</v>
      </c>
      <c r="N66" s="40">
        <f t="shared" si="126"/>
        <v>0</v>
      </c>
      <c r="O66" s="41">
        <f t="shared" si="126"/>
        <v>0</v>
      </c>
      <c r="P66" s="184"/>
      <c r="Q66" s="39">
        <f t="shared" si="126"/>
        <v>0</v>
      </c>
      <c r="R66" s="40">
        <f t="shared" si="126"/>
        <v>0</v>
      </c>
      <c r="S66" s="41">
        <f t="shared" si="126"/>
        <v>0</v>
      </c>
      <c r="T66" s="200"/>
      <c r="U66" s="39">
        <f t="shared" si="126"/>
        <v>0</v>
      </c>
      <c r="V66" s="40">
        <f t="shared" si="126"/>
        <v>0</v>
      </c>
      <c r="W66" s="41">
        <f>SUM(W67:W67)</f>
        <v>0</v>
      </c>
      <c r="X66" s="209">
        <f t="shared" ref="X66" si="127">W66/$L66*100</f>
        <v>0</v>
      </c>
      <c r="Y66" s="39">
        <f t="shared" si="126"/>
        <v>0</v>
      </c>
      <c r="Z66" s="40">
        <f t="shared" si="126"/>
        <v>13308.03681</v>
      </c>
      <c r="AA66" s="41">
        <f t="shared" si="126"/>
        <v>13308.03681</v>
      </c>
      <c r="AB66" s="191">
        <f t="shared" si="113"/>
        <v>99.992762867232699</v>
      </c>
      <c r="AC66" s="320">
        <f>SUM(AC67:AC67)</f>
        <v>0.96319000000039523</v>
      </c>
      <c r="AD66" s="336">
        <f t="shared" ref="AD66:AE66" si="128">SUM(AD67:AD67)</f>
        <v>0</v>
      </c>
      <c r="AE66" s="337">
        <f t="shared" si="128"/>
        <v>13309</v>
      </c>
      <c r="AF66" s="174">
        <f>SUM(AF67:AF67)</f>
        <v>13309</v>
      </c>
      <c r="AG66" s="385"/>
      <c r="AH66" s="147"/>
      <c r="AI66" s="336"/>
      <c r="AJ66" s="584"/>
    </row>
    <row r="67" spans="1:36" x14ac:dyDescent="0.2">
      <c r="A67" s="61"/>
      <c r="B67" s="23">
        <v>3522</v>
      </c>
      <c r="C67" s="23">
        <v>233</v>
      </c>
      <c r="D67" s="57" t="s">
        <v>259</v>
      </c>
      <c r="E67" s="10">
        <v>0</v>
      </c>
      <c r="F67" s="15">
        <v>13309</v>
      </c>
      <c r="G67" s="38">
        <f>E67+F67</f>
        <v>13309</v>
      </c>
      <c r="H67" s="313"/>
      <c r="I67" s="57"/>
      <c r="J67" s="28">
        <f>E67+H67</f>
        <v>0</v>
      </c>
      <c r="K67" s="15">
        <f>F67+I67</f>
        <v>13309</v>
      </c>
      <c r="L67" s="38">
        <f>SUM(J67:K67)</f>
        <v>13309</v>
      </c>
      <c r="M67" s="28">
        <v>0</v>
      </c>
      <c r="N67" s="15">
        <v>0</v>
      </c>
      <c r="O67" s="38">
        <f>M67+N67</f>
        <v>0</v>
      </c>
      <c r="P67" s="186"/>
      <c r="Q67" s="28"/>
      <c r="R67" s="15">
        <v>0</v>
      </c>
      <c r="S67" s="38">
        <f>Q67+R67</f>
        <v>0</v>
      </c>
      <c r="T67" s="202"/>
      <c r="U67" s="28">
        <v>0</v>
      </c>
      <c r="V67" s="15">
        <v>0</v>
      </c>
      <c r="W67" s="38">
        <f>U67+V67</f>
        <v>0</v>
      </c>
      <c r="X67" s="206">
        <f t="shared" ref="X67" si="129">W67/$L67*100</f>
        <v>0</v>
      </c>
      <c r="Y67" s="42"/>
      <c r="Z67" s="10">
        <v>13308.03681</v>
      </c>
      <c r="AA67" s="38">
        <f>Y67+Z67</f>
        <v>13308.03681</v>
      </c>
      <c r="AB67" s="191">
        <f t="shared" si="113"/>
        <v>99.992762867232699</v>
      </c>
      <c r="AC67" s="319">
        <f t="shared" ref="AC67" si="130">L67-AA67</f>
        <v>0.96319000000039523</v>
      </c>
      <c r="AD67" s="332"/>
      <c r="AE67" s="338">
        <v>13309</v>
      </c>
      <c r="AF67" s="138">
        <f>AD67+AE67</f>
        <v>13309</v>
      </c>
      <c r="AG67" s="389"/>
      <c r="AH67" s="146"/>
      <c r="AI67" s="544" t="s">
        <v>183</v>
      </c>
      <c r="AJ67" s="351" t="s">
        <v>355</v>
      </c>
    </row>
    <row r="68" spans="1:36" x14ac:dyDescent="0.2">
      <c r="A68" s="75">
        <v>36</v>
      </c>
      <c r="B68" s="20">
        <v>3600</v>
      </c>
      <c r="C68" s="20"/>
      <c r="D68" s="167" t="s">
        <v>74</v>
      </c>
      <c r="E68" s="165">
        <f t="shared" ref="E68:N68" si="131">SUM(E69:E87)</f>
        <v>15278</v>
      </c>
      <c r="F68" s="40">
        <f t="shared" si="131"/>
        <v>9650</v>
      </c>
      <c r="G68" s="41">
        <f t="shared" si="131"/>
        <v>24928</v>
      </c>
      <c r="H68" s="39">
        <f t="shared" si="131"/>
        <v>948.52</v>
      </c>
      <c r="I68" s="41">
        <f t="shared" si="131"/>
        <v>845</v>
      </c>
      <c r="J68" s="39">
        <f t="shared" si="131"/>
        <v>16226.52</v>
      </c>
      <c r="K68" s="40">
        <f>SUM(K69:K87)</f>
        <v>10495</v>
      </c>
      <c r="L68" s="41">
        <f t="shared" si="131"/>
        <v>26721.52</v>
      </c>
      <c r="M68" s="39">
        <f>SUM(M69:M87)</f>
        <v>1793.5523300000004</v>
      </c>
      <c r="N68" s="40">
        <f t="shared" si="131"/>
        <v>72.599999999999994</v>
      </c>
      <c r="O68" s="41">
        <f>SUM(O69:O87)</f>
        <v>1866.1523300000003</v>
      </c>
      <c r="P68" s="184">
        <f>O68/$L68*100</f>
        <v>6.9837057547624548</v>
      </c>
      <c r="Q68" s="39">
        <f>SUM(Q69:Q87)</f>
        <v>4830.3163100000002</v>
      </c>
      <c r="R68" s="40">
        <f>SUM(R69:R87)</f>
        <v>1920.1284499999997</v>
      </c>
      <c r="S68" s="41">
        <f>SUM(S69:S87)</f>
        <v>6750.4447600000003</v>
      </c>
      <c r="T68" s="200">
        <f>S68/$L68*100</f>
        <v>25.262203497405839</v>
      </c>
      <c r="U68" s="39">
        <f>SUM(U69:U87)</f>
        <v>8090.6092800000006</v>
      </c>
      <c r="V68" s="40">
        <f>SUM(V69:V87)</f>
        <v>3867.0234499999997</v>
      </c>
      <c r="W68" s="41">
        <f>SUM(W69:W87)</f>
        <v>11957.632730000001</v>
      </c>
      <c r="X68" s="207">
        <f t="shared" ref="X68:X70" si="132">W68/$L68*100</f>
        <v>44.749073892503127</v>
      </c>
      <c r="Y68" s="39">
        <f>SUM(Y69:Y87)</f>
        <v>15661.585359999995</v>
      </c>
      <c r="Z68" s="40">
        <f>SUM(Z69:Z87)</f>
        <v>4984.7942499999999</v>
      </c>
      <c r="AA68" s="41">
        <f>SUM(AA69:AA87)</f>
        <v>20646.379610000004</v>
      </c>
      <c r="AB68" s="385">
        <f t="shared" ref="AB68:AB74" si="133">AA68/$L68*100</f>
        <v>77.26498945419273</v>
      </c>
      <c r="AC68" s="320">
        <f>SUM(AC69:AC87)</f>
        <v>6075.1403899999996</v>
      </c>
      <c r="AD68" s="336">
        <f>SUM(AD69:AD87)</f>
        <v>16962</v>
      </c>
      <c r="AE68" s="337">
        <f>SUM(AE69:AE87)</f>
        <v>2310</v>
      </c>
      <c r="AF68" s="174">
        <f>SUM(AF69:AF87)</f>
        <v>19272</v>
      </c>
      <c r="AG68" s="385">
        <f t="shared" ref="AG68:AG73" si="134">AF68/$G68*100</f>
        <v>77.310654685494214</v>
      </c>
      <c r="AH68" s="147"/>
      <c r="AI68" s="336"/>
      <c r="AJ68" s="584"/>
    </row>
    <row r="69" spans="1:36" ht="12" customHeight="1" x14ac:dyDescent="0.2">
      <c r="A69" s="67"/>
      <c r="B69" s="22">
        <v>3612</v>
      </c>
      <c r="C69" s="22" t="s">
        <v>246</v>
      </c>
      <c r="D69" s="57" t="s">
        <v>119</v>
      </c>
      <c r="E69" s="28">
        <f>7175</f>
        <v>7175</v>
      </c>
      <c r="F69" s="15"/>
      <c r="G69" s="38">
        <f t="shared" ref="G69:G87" si="135">E69+F69</f>
        <v>7175</v>
      </c>
      <c r="H69" s="310">
        <v>600</v>
      </c>
      <c r="I69" s="38"/>
      <c r="J69" s="28">
        <f t="shared" ref="J69:J87" si="136">E69+H69</f>
        <v>7775</v>
      </c>
      <c r="K69" s="15"/>
      <c r="L69" s="38">
        <f t="shared" ref="L69:L87" si="137">SUM(J69:K69)</f>
        <v>7775</v>
      </c>
      <c r="M69" s="28">
        <v>423.61617000000001</v>
      </c>
      <c r="N69" s="15"/>
      <c r="O69" s="38">
        <f t="shared" ref="O69:O87" si="138">M69+N69</f>
        <v>423.61617000000001</v>
      </c>
      <c r="P69" s="183">
        <f>O69/$L69*100</f>
        <v>5.4484394855305469</v>
      </c>
      <c r="Q69" s="28">
        <v>1250.20138</v>
      </c>
      <c r="R69" s="15"/>
      <c r="S69" s="38">
        <f t="shared" ref="S69:S87" si="139">Q69+R69</f>
        <v>1250.20138</v>
      </c>
      <c r="T69" s="199">
        <f>S69/$L69*100</f>
        <v>16.079760514469452</v>
      </c>
      <c r="U69" s="28">
        <v>2968.73306</v>
      </c>
      <c r="V69" s="15"/>
      <c r="W69" s="38">
        <f t="shared" ref="W69:W87" si="140">U69+V69</f>
        <v>2968.73306</v>
      </c>
      <c r="X69" s="206">
        <f t="shared" si="132"/>
        <v>38.183061864951767</v>
      </c>
      <c r="Y69" s="28">
        <v>7950.3885700000001</v>
      </c>
      <c r="Z69" s="15"/>
      <c r="AA69" s="38">
        <f t="shared" ref="AA69:AA87" si="141">Y69+Z69</f>
        <v>7950.3885700000001</v>
      </c>
      <c r="AB69" s="191">
        <f t="shared" si="133"/>
        <v>102.25580154340837</v>
      </c>
      <c r="AC69" s="319">
        <f t="shared" ref="AC69:AC87" si="142">L69-AA69</f>
        <v>-175.38857000000007</v>
      </c>
      <c r="AD69" s="338">
        <v>2609</v>
      </c>
      <c r="AE69" s="338"/>
      <c r="AF69" s="138">
        <f t="shared" ref="AF69:AF87" si="143">AD69+AE69</f>
        <v>2609</v>
      </c>
      <c r="AG69" s="191">
        <f t="shared" si="134"/>
        <v>36.362369337979096</v>
      </c>
      <c r="AH69" s="146" t="s">
        <v>558</v>
      </c>
      <c r="AI69" s="332" t="s">
        <v>274</v>
      </c>
      <c r="AJ69" s="578" t="s">
        <v>245</v>
      </c>
    </row>
    <row r="70" spans="1:36" x14ac:dyDescent="0.2">
      <c r="A70" s="67"/>
      <c r="B70" s="22">
        <v>3612</v>
      </c>
      <c r="C70" s="22" t="s">
        <v>246</v>
      </c>
      <c r="D70" s="57" t="s">
        <v>120</v>
      </c>
      <c r="E70" s="28">
        <v>1950</v>
      </c>
      <c r="F70" s="15"/>
      <c r="G70" s="38">
        <f t="shared" si="135"/>
        <v>1950</v>
      </c>
      <c r="H70" s="43"/>
      <c r="I70" s="57"/>
      <c r="J70" s="28">
        <f t="shared" si="136"/>
        <v>1950</v>
      </c>
      <c r="K70" s="15"/>
      <c r="L70" s="38">
        <f t="shared" si="137"/>
        <v>1950</v>
      </c>
      <c r="M70" s="28">
        <v>736.91870000000006</v>
      </c>
      <c r="N70" s="15"/>
      <c r="O70" s="38">
        <f t="shared" si="138"/>
        <v>736.91870000000006</v>
      </c>
      <c r="P70" s="183">
        <f t="shared" ref="P70:P73" si="144">O70/$L70*100</f>
        <v>37.790702564102567</v>
      </c>
      <c r="Q70" s="28">
        <f>1137.73492</f>
        <v>1137.7349200000001</v>
      </c>
      <c r="R70" s="15"/>
      <c r="S70" s="38">
        <f t="shared" si="139"/>
        <v>1137.7349200000001</v>
      </c>
      <c r="T70" s="199">
        <f t="shared" ref="T70:T72" si="145">S70/$L70*100</f>
        <v>58.345380512820519</v>
      </c>
      <c r="U70" s="28">
        <v>1504.5550000000001</v>
      </c>
      <c r="V70" s="15"/>
      <c r="W70" s="38">
        <f t="shared" si="140"/>
        <v>1504.5550000000001</v>
      </c>
      <c r="X70" s="206">
        <f t="shared" si="132"/>
        <v>77.156666666666666</v>
      </c>
      <c r="Y70" s="28">
        <v>2002.9176999999997</v>
      </c>
      <c r="Z70" s="15"/>
      <c r="AA70" s="38">
        <f t="shared" si="141"/>
        <v>2002.9176999999997</v>
      </c>
      <c r="AB70" s="191">
        <f t="shared" si="133"/>
        <v>102.71372820512819</v>
      </c>
      <c r="AC70" s="319">
        <f t="shared" si="142"/>
        <v>-52.917699999999741</v>
      </c>
      <c r="AD70" s="338">
        <v>2929</v>
      </c>
      <c r="AE70" s="338"/>
      <c r="AF70" s="138">
        <f t="shared" si="143"/>
        <v>2929</v>
      </c>
      <c r="AG70" s="191">
        <f t="shared" si="134"/>
        <v>150.2051282051282</v>
      </c>
      <c r="AH70" s="146"/>
      <c r="AI70" s="332" t="s">
        <v>274</v>
      </c>
      <c r="AJ70" s="578" t="s">
        <v>245</v>
      </c>
    </row>
    <row r="71" spans="1:36" x14ac:dyDescent="0.2">
      <c r="A71" s="67"/>
      <c r="B71" s="22">
        <v>3612</v>
      </c>
      <c r="C71" s="22">
        <v>326</v>
      </c>
      <c r="D71" s="57" t="s">
        <v>285</v>
      </c>
      <c r="E71" s="28"/>
      <c r="F71" s="15">
        <v>4000</v>
      </c>
      <c r="G71" s="38">
        <f t="shared" si="135"/>
        <v>4000</v>
      </c>
      <c r="H71" s="43"/>
      <c r="I71" s="57">
        <v>500</v>
      </c>
      <c r="J71" s="28">
        <f t="shared" si="136"/>
        <v>0</v>
      </c>
      <c r="K71" s="15">
        <f>F71+I71</f>
        <v>4500</v>
      </c>
      <c r="L71" s="38">
        <f t="shared" si="137"/>
        <v>4500</v>
      </c>
      <c r="M71" s="28">
        <v>0</v>
      </c>
      <c r="N71" s="15"/>
      <c r="O71" s="38">
        <f t="shared" si="138"/>
        <v>0</v>
      </c>
      <c r="P71" s="183">
        <f t="shared" si="144"/>
        <v>0</v>
      </c>
      <c r="Q71" s="28"/>
      <c r="R71" s="15">
        <v>1787.1494499999999</v>
      </c>
      <c r="S71" s="38">
        <f t="shared" si="139"/>
        <v>1787.1494499999999</v>
      </c>
      <c r="T71" s="199">
        <f t="shared" si="145"/>
        <v>39.714432222222214</v>
      </c>
      <c r="U71" s="28"/>
      <c r="V71" s="15">
        <v>3435.17445</v>
      </c>
      <c r="W71" s="38">
        <f t="shared" si="140"/>
        <v>3435.17445</v>
      </c>
      <c r="X71" s="206">
        <f>W71/$L71*100</f>
        <v>76.337209999999999</v>
      </c>
      <c r="Y71" s="28"/>
      <c r="Z71" s="15">
        <v>4235.1992499999997</v>
      </c>
      <c r="AA71" s="38">
        <f t="shared" si="141"/>
        <v>4235.1992499999997</v>
      </c>
      <c r="AB71" s="191">
        <f t="shared" si="133"/>
        <v>94.115538888888878</v>
      </c>
      <c r="AC71" s="319">
        <f t="shared" si="142"/>
        <v>264.80075000000033</v>
      </c>
      <c r="AD71" s="332"/>
      <c r="AE71" s="338">
        <v>140</v>
      </c>
      <c r="AF71" s="138">
        <f t="shared" si="143"/>
        <v>140</v>
      </c>
      <c r="AG71" s="191">
        <f t="shared" si="134"/>
        <v>3.5000000000000004</v>
      </c>
      <c r="AH71" s="146"/>
      <c r="AI71" s="332" t="s">
        <v>254</v>
      </c>
      <c r="AJ71" s="351" t="s">
        <v>113</v>
      </c>
    </row>
    <row r="72" spans="1:36" x14ac:dyDescent="0.2">
      <c r="A72" s="67"/>
      <c r="B72" s="22">
        <v>3612</v>
      </c>
      <c r="C72" s="22">
        <v>327</v>
      </c>
      <c r="D72" s="57" t="s">
        <v>308</v>
      </c>
      <c r="E72" s="28"/>
      <c r="F72" s="15">
        <v>350</v>
      </c>
      <c r="G72" s="38">
        <f t="shared" si="135"/>
        <v>350</v>
      </c>
      <c r="H72" s="43"/>
      <c r="I72" s="57"/>
      <c r="J72" s="28">
        <f t="shared" si="136"/>
        <v>0</v>
      </c>
      <c r="K72" s="15">
        <f>F72+I72</f>
        <v>350</v>
      </c>
      <c r="L72" s="38">
        <f t="shared" si="137"/>
        <v>350</v>
      </c>
      <c r="M72" s="28">
        <v>0</v>
      </c>
      <c r="N72" s="15">
        <v>72.599999999999994</v>
      </c>
      <c r="O72" s="38">
        <f t="shared" si="138"/>
        <v>72.599999999999994</v>
      </c>
      <c r="P72" s="183">
        <f t="shared" si="144"/>
        <v>20.74285714285714</v>
      </c>
      <c r="Q72" s="28"/>
      <c r="R72" s="15">
        <v>72.599999999999994</v>
      </c>
      <c r="S72" s="38">
        <f t="shared" si="139"/>
        <v>72.599999999999994</v>
      </c>
      <c r="T72" s="199">
        <f t="shared" si="145"/>
        <v>20.74285714285714</v>
      </c>
      <c r="U72" s="28"/>
      <c r="V72" s="15">
        <v>72.599999999999994</v>
      </c>
      <c r="W72" s="38">
        <f t="shared" si="140"/>
        <v>72.599999999999994</v>
      </c>
      <c r="X72" s="206">
        <f>W72/$L72*100</f>
        <v>20.74285714285714</v>
      </c>
      <c r="Y72" s="28"/>
      <c r="Z72" s="15">
        <v>72.599999999999994</v>
      </c>
      <c r="AA72" s="38">
        <f t="shared" si="141"/>
        <v>72.599999999999994</v>
      </c>
      <c r="AB72" s="191">
        <f t="shared" si="133"/>
        <v>20.74285714285714</v>
      </c>
      <c r="AC72" s="319">
        <f t="shared" si="142"/>
        <v>277.39999999999998</v>
      </c>
      <c r="AD72" s="332"/>
      <c r="AE72" s="338">
        <v>270</v>
      </c>
      <c r="AF72" s="138">
        <f t="shared" si="143"/>
        <v>270</v>
      </c>
      <c r="AG72" s="191">
        <f t="shared" si="134"/>
        <v>77.142857142857153</v>
      </c>
      <c r="AH72" s="146"/>
      <c r="AI72" s="332" t="s">
        <v>254</v>
      </c>
      <c r="AJ72" s="351" t="s">
        <v>113</v>
      </c>
    </row>
    <row r="73" spans="1:36" x14ac:dyDescent="0.2">
      <c r="A73" s="67"/>
      <c r="B73" s="22">
        <v>3613</v>
      </c>
      <c r="C73" s="22">
        <v>305</v>
      </c>
      <c r="D73" s="57" t="s">
        <v>553</v>
      </c>
      <c r="E73" s="129">
        <f>171+146+54+250</f>
        <v>621</v>
      </c>
      <c r="F73" s="15"/>
      <c r="G73" s="38">
        <f t="shared" si="135"/>
        <v>621</v>
      </c>
      <c r="H73" s="43">
        <v>135.52000000000001</v>
      </c>
      <c r="I73" s="57"/>
      <c r="J73" s="28">
        <f t="shared" si="136"/>
        <v>756.52</v>
      </c>
      <c r="K73" s="15"/>
      <c r="L73" s="38">
        <f t="shared" si="137"/>
        <v>756.52</v>
      </c>
      <c r="M73" s="28">
        <f>46.132+96.8</f>
        <v>142.93199999999999</v>
      </c>
      <c r="N73" s="15"/>
      <c r="O73" s="38">
        <f t="shared" si="138"/>
        <v>142.93199999999999</v>
      </c>
      <c r="P73" s="183">
        <f t="shared" si="144"/>
        <v>18.893353777824775</v>
      </c>
      <c r="Q73" s="28">
        <f>90.01+182.36031</f>
        <v>272.37031000000002</v>
      </c>
      <c r="R73" s="15"/>
      <c r="S73" s="38">
        <f t="shared" si="139"/>
        <v>272.37031000000002</v>
      </c>
      <c r="T73" s="199">
        <f t="shared" ref="T73:T79" si="146">S73/$L73*100</f>
        <v>36.003054777137422</v>
      </c>
      <c r="U73" s="28">
        <v>353.61831000000001</v>
      </c>
      <c r="V73" s="15"/>
      <c r="W73" s="38">
        <f t="shared" si="140"/>
        <v>353.61831000000001</v>
      </c>
      <c r="X73" s="206">
        <f t="shared" ref="X73:X79" si="147">W73/$L73*100</f>
        <v>46.742757627029029</v>
      </c>
      <c r="Y73" s="28">
        <v>598.66030999999998</v>
      </c>
      <c r="Z73" s="15"/>
      <c r="AA73" s="38">
        <f t="shared" si="141"/>
        <v>598.66030999999998</v>
      </c>
      <c r="AB73" s="191">
        <f t="shared" si="133"/>
        <v>79.133441283773067</v>
      </c>
      <c r="AC73" s="319">
        <f t="shared" si="142"/>
        <v>157.85969</v>
      </c>
      <c r="AD73" s="344">
        <f>2900+135+146+290+100+10</f>
        <v>3581</v>
      </c>
      <c r="AE73" s="344">
        <v>1800</v>
      </c>
      <c r="AF73" s="138">
        <f t="shared" si="143"/>
        <v>5381</v>
      </c>
      <c r="AG73" s="191">
        <f t="shared" si="134"/>
        <v>866.50563607085348</v>
      </c>
      <c r="AH73" s="146" t="s">
        <v>378</v>
      </c>
      <c r="AI73" s="332" t="s">
        <v>261</v>
      </c>
      <c r="AJ73" s="351" t="s">
        <v>113</v>
      </c>
    </row>
    <row r="74" spans="1:36" x14ac:dyDescent="0.2">
      <c r="A74" s="67"/>
      <c r="B74" s="22">
        <v>3613</v>
      </c>
      <c r="C74" s="22">
        <v>316</v>
      </c>
      <c r="D74" s="57" t="s">
        <v>363</v>
      </c>
      <c r="E74" s="28">
        <f>291+200</f>
        <v>491</v>
      </c>
      <c r="F74" s="15"/>
      <c r="G74" s="38">
        <f t="shared" si="135"/>
        <v>491</v>
      </c>
      <c r="H74" s="43"/>
      <c r="I74" s="57"/>
      <c r="J74" s="28">
        <f t="shared" si="136"/>
        <v>491</v>
      </c>
      <c r="K74" s="15">
        <f>F74+I74</f>
        <v>0</v>
      </c>
      <c r="L74" s="38">
        <f t="shared" si="137"/>
        <v>491</v>
      </c>
      <c r="M74" s="28">
        <v>61.694220000000001</v>
      </c>
      <c r="N74" s="15"/>
      <c r="O74" s="38">
        <f t="shared" si="138"/>
        <v>61.694220000000001</v>
      </c>
      <c r="P74" s="183">
        <f t="shared" ref="P74:P79" si="148">O74/$L74*100</f>
        <v>12.565014256619145</v>
      </c>
      <c r="Q74" s="28">
        <v>124.53422999999999</v>
      </c>
      <c r="R74" s="15"/>
      <c r="S74" s="38">
        <f t="shared" si="139"/>
        <v>124.53422999999999</v>
      </c>
      <c r="T74" s="199">
        <f t="shared" si="146"/>
        <v>25.363386965376783</v>
      </c>
      <c r="U74" s="28">
        <v>239.41163</v>
      </c>
      <c r="V74" s="15"/>
      <c r="W74" s="38">
        <f t="shared" si="140"/>
        <v>239.41163</v>
      </c>
      <c r="X74" s="206">
        <f t="shared" si="147"/>
        <v>48.760006109979628</v>
      </c>
      <c r="Y74" s="28">
        <v>479.25244000000004</v>
      </c>
      <c r="Z74" s="15"/>
      <c r="AA74" s="38">
        <f t="shared" si="141"/>
        <v>479.25244000000004</v>
      </c>
      <c r="AB74" s="191">
        <f t="shared" si="133"/>
        <v>97.607421588594718</v>
      </c>
      <c r="AC74" s="319">
        <f t="shared" si="142"/>
        <v>11.747559999999964</v>
      </c>
      <c r="AD74" s="338">
        <f>428+500</f>
        <v>928</v>
      </c>
      <c r="AE74" s="338"/>
      <c r="AF74" s="138">
        <f t="shared" si="143"/>
        <v>928</v>
      </c>
      <c r="AG74" s="191">
        <f t="shared" ref="AG74:AG78" si="149">AF74/$G74*100</f>
        <v>189.0020366598778</v>
      </c>
      <c r="AH74" s="146"/>
      <c r="AI74" s="332" t="s">
        <v>340</v>
      </c>
      <c r="AJ74" s="351" t="s">
        <v>68</v>
      </c>
    </row>
    <row r="75" spans="1:36" x14ac:dyDescent="0.2">
      <c r="A75" s="67"/>
      <c r="B75" s="22">
        <v>3613</v>
      </c>
      <c r="C75" s="22">
        <v>317</v>
      </c>
      <c r="D75" s="57" t="s">
        <v>185</v>
      </c>
      <c r="E75" s="28">
        <f>102</f>
        <v>102</v>
      </c>
      <c r="F75" s="15"/>
      <c r="G75" s="38">
        <f t="shared" si="135"/>
        <v>102</v>
      </c>
      <c r="H75" s="43"/>
      <c r="I75" s="38"/>
      <c r="J75" s="28">
        <f t="shared" si="136"/>
        <v>102</v>
      </c>
      <c r="K75" s="15"/>
      <c r="L75" s="38">
        <f t="shared" si="137"/>
        <v>102</v>
      </c>
      <c r="M75" s="28">
        <v>2.2000000000000002</v>
      </c>
      <c r="N75" s="15"/>
      <c r="O75" s="38">
        <f t="shared" si="138"/>
        <v>2.2000000000000002</v>
      </c>
      <c r="P75" s="183">
        <f t="shared" si="148"/>
        <v>2.1568627450980395</v>
      </c>
      <c r="Q75" s="28">
        <v>10.144</v>
      </c>
      <c r="R75" s="15"/>
      <c r="S75" s="38">
        <f t="shared" si="139"/>
        <v>10.144</v>
      </c>
      <c r="T75" s="199">
        <f t="shared" si="146"/>
        <v>9.9450980392156865</v>
      </c>
      <c r="U75" s="28">
        <v>19.643999999999998</v>
      </c>
      <c r="V75" s="15"/>
      <c r="W75" s="38">
        <f t="shared" si="140"/>
        <v>19.643999999999998</v>
      </c>
      <c r="X75" s="206">
        <f t="shared" si="147"/>
        <v>19.258823529411764</v>
      </c>
      <c r="Y75" s="28">
        <v>23.143999999999998</v>
      </c>
      <c r="Z75" s="15"/>
      <c r="AA75" s="38">
        <f t="shared" si="141"/>
        <v>23.143999999999998</v>
      </c>
      <c r="AB75" s="191">
        <f t="shared" ref="AB75" si="150">AA75/$L75*100</f>
        <v>22.69019607843137</v>
      </c>
      <c r="AC75" s="319">
        <f t="shared" si="142"/>
        <v>78.855999999999995</v>
      </c>
      <c r="AD75" s="332">
        <v>102</v>
      </c>
      <c r="AE75" s="338"/>
      <c r="AF75" s="138">
        <f t="shared" si="143"/>
        <v>102</v>
      </c>
      <c r="AG75" s="191">
        <f t="shared" si="149"/>
        <v>100</v>
      </c>
      <c r="AH75" s="146"/>
      <c r="AI75" s="332" t="s">
        <v>340</v>
      </c>
      <c r="AJ75" s="351" t="s">
        <v>68</v>
      </c>
    </row>
    <row r="76" spans="1:36" ht="13.5" customHeight="1" x14ac:dyDescent="0.2">
      <c r="A76" s="67"/>
      <c r="B76" s="22">
        <v>3613</v>
      </c>
      <c r="C76" s="22">
        <v>703</v>
      </c>
      <c r="D76" s="57" t="s">
        <v>121</v>
      </c>
      <c r="E76" s="28">
        <v>380</v>
      </c>
      <c r="F76" s="15"/>
      <c r="G76" s="38">
        <f t="shared" si="135"/>
        <v>380</v>
      </c>
      <c r="H76" s="43"/>
      <c r="I76" s="57"/>
      <c r="J76" s="28">
        <f t="shared" si="136"/>
        <v>380</v>
      </c>
      <c r="K76" s="15"/>
      <c r="L76" s="38">
        <f t="shared" si="137"/>
        <v>380</v>
      </c>
      <c r="M76" s="28">
        <v>31.198360000000001</v>
      </c>
      <c r="N76" s="15"/>
      <c r="O76" s="38">
        <f t="shared" si="138"/>
        <v>31.198360000000001</v>
      </c>
      <c r="P76" s="183">
        <f t="shared" si="148"/>
        <v>8.2100947368421053</v>
      </c>
      <c r="Q76" s="28">
        <v>59.941200000000002</v>
      </c>
      <c r="R76" s="15"/>
      <c r="S76" s="38">
        <f t="shared" si="139"/>
        <v>59.941200000000002</v>
      </c>
      <c r="T76" s="199">
        <f t="shared" si="146"/>
        <v>15.774000000000003</v>
      </c>
      <c r="U76" s="28">
        <v>94.662430000000001</v>
      </c>
      <c r="V76" s="15"/>
      <c r="W76" s="38">
        <f t="shared" si="140"/>
        <v>94.662430000000001</v>
      </c>
      <c r="X76" s="206">
        <f t="shared" si="147"/>
        <v>24.911165789473685</v>
      </c>
      <c r="Y76" s="28">
        <v>153.39546000000001</v>
      </c>
      <c r="Z76" s="15"/>
      <c r="AA76" s="38">
        <f t="shared" si="141"/>
        <v>153.39546000000001</v>
      </c>
      <c r="AB76" s="191">
        <f t="shared" ref="AB76:AB80" si="151">AA76/$L76*100</f>
        <v>40.36722631578948</v>
      </c>
      <c r="AC76" s="319">
        <f t="shared" si="142"/>
        <v>226.60453999999999</v>
      </c>
      <c r="AD76" s="332">
        <v>408</v>
      </c>
      <c r="AE76" s="338"/>
      <c r="AF76" s="138">
        <f t="shared" si="143"/>
        <v>408</v>
      </c>
      <c r="AG76" s="191">
        <f t="shared" si="149"/>
        <v>107.36842105263158</v>
      </c>
      <c r="AH76" s="146"/>
      <c r="AI76" s="332" t="s">
        <v>274</v>
      </c>
      <c r="AJ76" s="578" t="s">
        <v>245</v>
      </c>
    </row>
    <row r="77" spans="1:36" x14ac:dyDescent="0.2">
      <c r="A77" s="67"/>
      <c r="B77" s="22">
        <v>3613</v>
      </c>
      <c r="C77" s="22">
        <v>703</v>
      </c>
      <c r="D77" s="57" t="s">
        <v>122</v>
      </c>
      <c r="E77" s="28">
        <v>200</v>
      </c>
      <c r="F77" s="15"/>
      <c r="G77" s="38">
        <f t="shared" si="135"/>
        <v>200</v>
      </c>
      <c r="H77" s="43"/>
      <c r="I77" s="57"/>
      <c r="J77" s="28">
        <f t="shared" si="136"/>
        <v>200</v>
      </c>
      <c r="K77" s="15"/>
      <c r="L77" s="38">
        <f t="shared" si="137"/>
        <v>200</v>
      </c>
      <c r="M77" s="28">
        <v>33.530090000000001</v>
      </c>
      <c r="N77" s="15"/>
      <c r="O77" s="38">
        <f t="shared" si="138"/>
        <v>33.530090000000001</v>
      </c>
      <c r="P77" s="183">
        <f t="shared" si="148"/>
        <v>16.765045000000001</v>
      </c>
      <c r="Q77" s="28">
        <f>74.77884+1.11222</f>
        <v>75.891059999999996</v>
      </c>
      <c r="R77" s="15"/>
      <c r="S77" s="38">
        <f t="shared" si="139"/>
        <v>75.891059999999996</v>
      </c>
      <c r="T77" s="199">
        <f t="shared" si="146"/>
        <v>37.945529999999998</v>
      </c>
      <c r="U77" s="28">
        <v>96.657060000000001</v>
      </c>
      <c r="V77" s="15"/>
      <c r="W77" s="38">
        <f t="shared" si="140"/>
        <v>96.657060000000001</v>
      </c>
      <c r="X77" s="206">
        <f t="shared" si="147"/>
        <v>48.328530000000001</v>
      </c>
      <c r="Y77" s="28">
        <v>205.68727000000001</v>
      </c>
      <c r="Z77" s="15"/>
      <c r="AA77" s="38">
        <f t="shared" si="141"/>
        <v>205.68727000000001</v>
      </c>
      <c r="AB77" s="191">
        <f t="shared" si="151"/>
        <v>102.84363500000001</v>
      </c>
      <c r="AC77" s="319">
        <f t="shared" si="142"/>
        <v>-5.6872700000000123</v>
      </c>
      <c r="AD77" s="332">
        <v>400</v>
      </c>
      <c r="AE77" s="338"/>
      <c r="AF77" s="138">
        <f t="shared" si="143"/>
        <v>400</v>
      </c>
      <c r="AG77" s="191">
        <f t="shared" si="149"/>
        <v>200</v>
      </c>
      <c r="AH77" s="146"/>
      <c r="AI77" s="332" t="s">
        <v>274</v>
      </c>
      <c r="AJ77" s="578" t="s">
        <v>245</v>
      </c>
    </row>
    <row r="78" spans="1:36" x14ac:dyDescent="0.2">
      <c r="A78" s="67"/>
      <c r="B78" s="22">
        <v>3631</v>
      </c>
      <c r="C78" s="22">
        <v>107</v>
      </c>
      <c r="D78" s="57" t="s">
        <v>76</v>
      </c>
      <c r="E78" s="15">
        <f>1760+340</f>
        <v>2100</v>
      </c>
      <c r="F78" s="15"/>
      <c r="G78" s="38">
        <f t="shared" si="135"/>
        <v>2100</v>
      </c>
      <c r="H78" s="43"/>
      <c r="I78" s="57">
        <v>345</v>
      </c>
      <c r="J78" s="28">
        <f t="shared" si="136"/>
        <v>2100</v>
      </c>
      <c r="K78" s="15">
        <f>F78+I78</f>
        <v>345</v>
      </c>
      <c r="L78" s="38">
        <f t="shared" si="137"/>
        <v>2445</v>
      </c>
      <c r="M78" s="28">
        <v>0</v>
      </c>
      <c r="N78" s="15"/>
      <c r="O78" s="38">
        <f t="shared" si="138"/>
        <v>0</v>
      </c>
      <c r="P78" s="183">
        <f t="shared" si="148"/>
        <v>0</v>
      </c>
      <c r="Q78" s="28">
        <v>1134.6679999999999</v>
      </c>
      <c r="R78" s="15"/>
      <c r="S78" s="38">
        <f t="shared" si="139"/>
        <v>1134.6679999999999</v>
      </c>
      <c r="T78" s="199">
        <f t="shared" si="146"/>
        <v>46.407689161554188</v>
      </c>
      <c r="U78" s="28">
        <f>1796.382-V78</f>
        <v>1679.0120000000002</v>
      </c>
      <c r="V78" s="15">
        <v>117.37</v>
      </c>
      <c r="W78" s="38">
        <f t="shared" si="140"/>
        <v>1796.3820000000001</v>
      </c>
      <c r="X78" s="206">
        <f t="shared" si="147"/>
        <v>73.471656441717798</v>
      </c>
      <c r="Y78" s="28">
        <v>2223.3560000000002</v>
      </c>
      <c r="Z78" s="15">
        <v>344.36599999999999</v>
      </c>
      <c r="AA78" s="38">
        <f t="shared" si="141"/>
        <v>2567.7220000000002</v>
      </c>
      <c r="AB78" s="191">
        <f t="shared" si="151"/>
        <v>105.01930470347649</v>
      </c>
      <c r="AC78" s="319">
        <f t="shared" si="142"/>
        <v>-122.72200000000021</v>
      </c>
      <c r="AD78" s="338">
        <f>2100+630+200</f>
        <v>2930</v>
      </c>
      <c r="AE78" s="338"/>
      <c r="AF78" s="138">
        <f t="shared" si="143"/>
        <v>2930</v>
      </c>
      <c r="AG78" s="191">
        <f t="shared" si="149"/>
        <v>139.52380952380952</v>
      </c>
      <c r="AH78" s="146" t="s">
        <v>369</v>
      </c>
      <c r="AI78" s="332" t="s">
        <v>181</v>
      </c>
      <c r="AJ78" s="351" t="s">
        <v>113</v>
      </c>
    </row>
    <row r="79" spans="1:36" x14ac:dyDescent="0.2">
      <c r="A79" s="67"/>
      <c r="B79" s="22">
        <v>3632</v>
      </c>
      <c r="C79" s="22">
        <v>232</v>
      </c>
      <c r="D79" s="57" t="s">
        <v>307</v>
      </c>
      <c r="E79" s="28">
        <v>80</v>
      </c>
      <c r="F79" s="15">
        <v>5300</v>
      </c>
      <c r="G79" s="38">
        <f t="shared" si="135"/>
        <v>5380</v>
      </c>
      <c r="H79" s="43"/>
      <c r="I79" s="57"/>
      <c r="J79" s="28">
        <f t="shared" si="136"/>
        <v>80</v>
      </c>
      <c r="K79" s="15">
        <f>F79+I79</f>
        <v>5300</v>
      </c>
      <c r="L79" s="38">
        <f t="shared" si="137"/>
        <v>5380</v>
      </c>
      <c r="M79" s="28">
        <v>0</v>
      </c>
      <c r="N79" s="15"/>
      <c r="O79" s="38">
        <f t="shared" si="138"/>
        <v>0</v>
      </c>
      <c r="P79" s="183">
        <f t="shared" si="148"/>
        <v>0</v>
      </c>
      <c r="Q79" s="28">
        <v>43.442999999999998</v>
      </c>
      <c r="R79" s="15">
        <v>60.378999999999998</v>
      </c>
      <c r="S79" s="38">
        <f t="shared" si="139"/>
        <v>103.822</v>
      </c>
      <c r="T79" s="199">
        <f t="shared" si="146"/>
        <v>1.9297769516728625</v>
      </c>
      <c r="U79" s="28">
        <v>45.942999999999998</v>
      </c>
      <c r="V79" s="15">
        <v>241.87899999999999</v>
      </c>
      <c r="W79" s="38">
        <f t="shared" si="140"/>
        <v>287.822</v>
      </c>
      <c r="X79" s="206">
        <f t="shared" si="147"/>
        <v>5.3498513011152413</v>
      </c>
      <c r="Y79" s="15">
        <v>45.942999999999984</v>
      </c>
      <c r="Z79" s="15">
        <v>332.62900000000002</v>
      </c>
      <c r="AA79" s="38">
        <f t="shared" si="141"/>
        <v>378.572</v>
      </c>
      <c r="AB79" s="191">
        <f t="shared" si="151"/>
        <v>7.0366542750929364</v>
      </c>
      <c r="AC79" s="319">
        <f t="shared" si="142"/>
        <v>5001.4279999999999</v>
      </c>
      <c r="AD79" s="332"/>
      <c r="AE79" s="338">
        <v>100</v>
      </c>
      <c r="AF79" s="138">
        <f t="shared" si="143"/>
        <v>100</v>
      </c>
      <c r="AG79" s="191"/>
      <c r="AH79" s="146"/>
      <c r="AI79" s="332" t="s">
        <v>254</v>
      </c>
      <c r="AJ79" s="351" t="s">
        <v>113</v>
      </c>
    </row>
    <row r="80" spans="1:36" x14ac:dyDescent="0.2">
      <c r="A80" s="67"/>
      <c r="B80" s="22">
        <v>3632</v>
      </c>
      <c r="C80" s="22">
        <v>238</v>
      </c>
      <c r="D80" s="57" t="s">
        <v>38</v>
      </c>
      <c r="E80" s="28">
        <v>359</v>
      </c>
      <c r="F80" s="15"/>
      <c r="G80" s="38">
        <f t="shared" si="135"/>
        <v>359</v>
      </c>
      <c r="H80" s="43"/>
      <c r="I80" s="57"/>
      <c r="J80" s="28">
        <f t="shared" si="136"/>
        <v>359</v>
      </c>
      <c r="K80" s="15">
        <f>F80+I80</f>
        <v>0</v>
      </c>
      <c r="L80" s="38">
        <f t="shared" si="137"/>
        <v>359</v>
      </c>
      <c r="M80" s="28">
        <v>79.296000000000006</v>
      </c>
      <c r="N80" s="15"/>
      <c r="O80" s="38">
        <f t="shared" si="138"/>
        <v>79.296000000000006</v>
      </c>
      <c r="P80" s="183">
        <f t="shared" ref="P80:P86" si="152">O80/$L80*100</f>
        <v>22.088022284122562</v>
      </c>
      <c r="Q80" s="28">
        <v>170.50700000000001</v>
      </c>
      <c r="R80" s="15"/>
      <c r="S80" s="38">
        <f t="shared" si="139"/>
        <v>170.50700000000001</v>
      </c>
      <c r="T80" s="199">
        <f t="shared" ref="T80:T86" si="153">S80/$L80*100</f>
        <v>47.494986072423401</v>
      </c>
      <c r="U80" s="28">
        <v>244.559</v>
      </c>
      <c r="V80" s="15"/>
      <c r="W80" s="38">
        <f t="shared" si="140"/>
        <v>244.559</v>
      </c>
      <c r="X80" s="206">
        <f t="shared" ref="X80:X86" si="154">W80/$L80*100</f>
        <v>68.122284122562675</v>
      </c>
      <c r="Y80" s="28">
        <v>331.01267999999999</v>
      </c>
      <c r="Z80" s="15"/>
      <c r="AA80" s="38">
        <f t="shared" si="141"/>
        <v>331.01267999999999</v>
      </c>
      <c r="AB80" s="191">
        <f t="shared" si="151"/>
        <v>92.204089136490254</v>
      </c>
      <c r="AC80" s="319">
        <f t="shared" si="142"/>
        <v>27.987320000000011</v>
      </c>
      <c r="AD80" s="338">
        <v>446</v>
      </c>
      <c r="AE80" s="338"/>
      <c r="AF80" s="138">
        <f t="shared" si="143"/>
        <v>446</v>
      </c>
      <c r="AG80" s="191">
        <f t="shared" ref="AG80:AG86" si="155">AF80/$G80*100</f>
        <v>124.23398328690807</v>
      </c>
      <c r="AH80" s="146"/>
      <c r="AI80" s="332" t="s">
        <v>340</v>
      </c>
      <c r="AJ80" s="351" t="s">
        <v>68</v>
      </c>
    </row>
    <row r="81" spans="1:36" x14ac:dyDescent="0.2">
      <c r="A81" s="67"/>
      <c r="B81" s="22">
        <v>3635</v>
      </c>
      <c r="C81" s="22">
        <v>248</v>
      </c>
      <c r="D81" s="57" t="s">
        <v>188</v>
      </c>
      <c r="E81" s="28">
        <v>90</v>
      </c>
      <c r="F81" s="15"/>
      <c r="G81" s="38">
        <f t="shared" si="135"/>
        <v>90</v>
      </c>
      <c r="H81" s="43"/>
      <c r="I81" s="57"/>
      <c r="J81" s="28">
        <f t="shared" si="136"/>
        <v>90</v>
      </c>
      <c r="K81" s="15"/>
      <c r="L81" s="38">
        <f t="shared" si="137"/>
        <v>90</v>
      </c>
      <c r="M81" s="28">
        <v>0</v>
      </c>
      <c r="N81" s="15"/>
      <c r="O81" s="38">
        <f t="shared" si="138"/>
        <v>0</v>
      </c>
      <c r="P81" s="183">
        <f t="shared" si="152"/>
        <v>0</v>
      </c>
      <c r="Q81" s="28"/>
      <c r="R81" s="15"/>
      <c r="S81" s="38">
        <f t="shared" si="139"/>
        <v>0</v>
      </c>
      <c r="T81" s="199">
        <f t="shared" si="153"/>
        <v>0</v>
      </c>
      <c r="U81" s="28"/>
      <c r="V81" s="15"/>
      <c r="W81" s="38">
        <f t="shared" si="140"/>
        <v>0</v>
      </c>
      <c r="X81" s="206">
        <f t="shared" si="154"/>
        <v>0</v>
      </c>
      <c r="Y81" s="28">
        <v>36.299999999999997</v>
      </c>
      <c r="Z81" s="15"/>
      <c r="AA81" s="38">
        <f t="shared" si="141"/>
        <v>36.299999999999997</v>
      </c>
      <c r="AB81" s="191">
        <f t="shared" ref="AB81:AB86" si="156">AA81/$L81*100</f>
        <v>40.333333333333329</v>
      </c>
      <c r="AC81" s="319">
        <f t="shared" si="142"/>
        <v>53.7</v>
      </c>
      <c r="AD81" s="332">
        <v>350</v>
      </c>
      <c r="AE81" s="338"/>
      <c r="AF81" s="138">
        <f t="shared" si="143"/>
        <v>350</v>
      </c>
      <c r="AG81" s="191">
        <f t="shared" si="155"/>
        <v>388.88888888888886</v>
      </c>
      <c r="AH81" s="146" t="s">
        <v>445</v>
      </c>
      <c r="AI81" s="332" t="s">
        <v>187</v>
      </c>
      <c r="AJ81" s="351" t="s">
        <v>186</v>
      </c>
    </row>
    <row r="82" spans="1:36" x14ac:dyDescent="0.2">
      <c r="A82" s="67"/>
      <c r="B82" s="22">
        <v>3636</v>
      </c>
      <c r="C82" s="22">
        <v>249</v>
      </c>
      <c r="D82" s="57" t="s">
        <v>220</v>
      </c>
      <c r="E82" s="28">
        <v>100</v>
      </c>
      <c r="F82" s="15"/>
      <c r="G82" s="38">
        <f t="shared" si="135"/>
        <v>100</v>
      </c>
      <c r="H82" s="310">
        <v>63</v>
      </c>
      <c r="I82" s="57"/>
      <c r="J82" s="28">
        <f t="shared" si="136"/>
        <v>163</v>
      </c>
      <c r="K82" s="15"/>
      <c r="L82" s="38">
        <f t="shared" si="137"/>
        <v>163</v>
      </c>
      <c r="M82" s="28">
        <v>0</v>
      </c>
      <c r="N82" s="15"/>
      <c r="O82" s="38">
        <f t="shared" si="138"/>
        <v>0</v>
      </c>
      <c r="P82" s="183">
        <f t="shared" si="152"/>
        <v>0</v>
      </c>
      <c r="Q82" s="28">
        <v>40.65701</v>
      </c>
      <c r="R82" s="15"/>
      <c r="S82" s="38">
        <f t="shared" si="139"/>
        <v>40.65701</v>
      </c>
      <c r="T82" s="199">
        <f t="shared" si="153"/>
        <v>24.942950920245398</v>
      </c>
      <c r="U82" s="28">
        <v>65.457849999999993</v>
      </c>
      <c r="V82" s="15"/>
      <c r="W82" s="38">
        <f t="shared" si="140"/>
        <v>65.457849999999993</v>
      </c>
      <c r="X82" s="206">
        <f t="shared" si="154"/>
        <v>40.158190184049076</v>
      </c>
      <c r="Y82" s="28">
        <v>105.5236</v>
      </c>
      <c r="Z82" s="15"/>
      <c r="AA82" s="38">
        <f t="shared" si="141"/>
        <v>105.5236</v>
      </c>
      <c r="AB82" s="191">
        <f t="shared" si="156"/>
        <v>64.738404907975465</v>
      </c>
      <c r="AC82" s="319">
        <f t="shared" si="142"/>
        <v>57.476399999999998</v>
      </c>
      <c r="AD82" s="332">
        <v>113</v>
      </c>
      <c r="AE82" s="338"/>
      <c r="AF82" s="138">
        <f t="shared" si="143"/>
        <v>113</v>
      </c>
      <c r="AG82" s="191">
        <f t="shared" si="155"/>
        <v>112.99999999999999</v>
      </c>
      <c r="AH82" s="146"/>
      <c r="AI82" s="332" t="s">
        <v>439</v>
      </c>
      <c r="AJ82" s="351" t="s">
        <v>113</v>
      </c>
    </row>
    <row r="83" spans="1:36" x14ac:dyDescent="0.2">
      <c r="A83" s="67"/>
      <c r="B83" s="22">
        <v>3639</v>
      </c>
      <c r="C83" s="22">
        <v>108</v>
      </c>
      <c r="D83" s="57" t="s">
        <v>93</v>
      </c>
      <c r="E83" s="28">
        <v>341</v>
      </c>
      <c r="F83" s="15"/>
      <c r="G83" s="38">
        <f t="shared" si="135"/>
        <v>341</v>
      </c>
      <c r="H83" s="28">
        <v>150</v>
      </c>
      <c r="I83" s="57"/>
      <c r="J83" s="28">
        <f t="shared" si="136"/>
        <v>491</v>
      </c>
      <c r="K83" s="15">
        <f>F83+I83</f>
        <v>0</v>
      </c>
      <c r="L83" s="38">
        <f t="shared" si="137"/>
        <v>491</v>
      </c>
      <c r="M83" s="28">
        <v>30.911989999999999</v>
      </c>
      <c r="N83" s="15"/>
      <c r="O83" s="38">
        <f t="shared" si="138"/>
        <v>30.911989999999999</v>
      </c>
      <c r="P83" s="183">
        <f t="shared" si="152"/>
        <v>6.2957209775967415</v>
      </c>
      <c r="Q83" s="28">
        <v>33.307989999999997</v>
      </c>
      <c r="R83" s="15"/>
      <c r="S83" s="38">
        <f t="shared" si="139"/>
        <v>33.307989999999997</v>
      </c>
      <c r="T83" s="199">
        <f t="shared" si="153"/>
        <v>6.7837046843177182</v>
      </c>
      <c r="U83" s="28">
        <v>47.174790000000002</v>
      </c>
      <c r="V83" s="15"/>
      <c r="W83" s="38">
        <f t="shared" si="140"/>
        <v>47.174790000000002</v>
      </c>
      <c r="X83" s="206">
        <f t="shared" si="154"/>
        <v>9.607900203665988</v>
      </c>
      <c r="Y83" s="28">
        <v>471.54212999999999</v>
      </c>
      <c r="Z83" s="15"/>
      <c r="AA83" s="38">
        <f t="shared" si="141"/>
        <v>471.54212999999999</v>
      </c>
      <c r="AB83" s="191">
        <f t="shared" si="156"/>
        <v>96.037093686354382</v>
      </c>
      <c r="AC83" s="319">
        <f t="shared" si="142"/>
        <v>19.457870000000014</v>
      </c>
      <c r="AD83" s="338">
        <f>200+342</f>
        <v>542</v>
      </c>
      <c r="AE83" s="338"/>
      <c r="AF83" s="138">
        <f t="shared" si="143"/>
        <v>542</v>
      </c>
      <c r="AG83" s="191">
        <f t="shared" si="155"/>
        <v>158.94428152492668</v>
      </c>
      <c r="AH83" s="146"/>
      <c r="AI83" s="332" t="s">
        <v>148</v>
      </c>
      <c r="AJ83" s="351" t="s">
        <v>68</v>
      </c>
    </row>
    <row r="84" spans="1:36" x14ac:dyDescent="0.2">
      <c r="A84" s="67"/>
      <c r="B84" s="22">
        <v>3639</v>
      </c>
      <c r="C84" s="22">
        <v>239</v>
      </c>
      <c r="D84" s="57" t="s">
        <v>171</v>
      </c>
      <c r="E84" s="28">
        <v>441</v>
      </c>
      <c r="F84" s="15"/>
      <c r="G84" s="38">
        <f t="shared" si="135"/>
        <v>441</v>
      </c>
      <c r="H84" s="43"/>
      <c r="I84" s="57"/>
      <c r="J84" s="28">
        <f t="shared" si="136"/>
        <v>441</v>
      </c>
      <c r="K84" s="15"/>
      <c r="L84" s="38">
        <f t="shared" si="137"/>
        <v>441</v>
      </c>
      <c r="M84" s="28">
        <v>87.007249999999999</v>
      </c>
      <c r="N84" s="15"/>
      <c r="O84" s="38">
        <f t="shared" si="138"/>
        <v>87.007249999999999</v>
      </c>
      <c r="P84" s="183">
        <f t="shared" si="152"/>
        <v>19.729535147392291</v>
      </c>
      <c r="Q84" s="28">
        <v>140.29422</v>
      </c>
      <c r="R84" s="15"/>
      <c r="S84" s="38">
        <f t="shared" si="139"/>
        <v>140.29422</v>
      </c>
      <c r="T84" s="199">
        <f t="shared" si="153"/>
        <v>31.812748299319725</v>
      </c>
      <c r="U84" s="28">
        <v>211.04917</v>
      </c>
      <c r="V84" s="15"/>
      <c r="W84" s="38">
        <f t="shared" si="140"/>
        <v>211.04917</v>
      </c>
      <c r="X84" s="206">
        <f t="shared" si="154"/>
        <v>47.856954648526077</v>
      </c>
      <c r="Y84" s="28">
        <v>322.69896</v>
      </c>
      <c r="Z84" s="15"/>
      <c r="AA84" s="38">
        <f t="shared" si="141"/>
        <v>322.69896</v>
      </c>
      <c r="AB84" s="191">
        <f t="shared" si="156"/>
        <v>73.17436734693878</v>
      </c>
      <c r="AC84" s="319">
        <f t="shared" si="142"/>
        <v>118.30104</v>
      </c>
      <c r="AD84" s="338">
        <f>448+250</f>
        <v>698</v>
      </c>
      <c r="AE84" s="338"/>
      <c r="AF84" s="138">
        <f t="shared" si="143"/>
        <v>698</v>
      </c>
      <c r="AG84" s="191">
        <f t="shared" si="155"/>
        <v>158.2766439909297</v>
      </c>
      <c r="AH84" s="146"/>
      <c r="AI84" s="332" t="s">
        <v>181</v>
      </c>
      <c r="AJ84" s="351" t="s">
        <v>113</v>
      </c>
    </row>
    <row r="85" spans="1:36" x14ac:dyDescent="0.2">
      <c r="A85" s="67"/>
      <c r="B85" s="22">
        <v>3639</v>
      </c>
      <c r="C85" s="22">
        <v>243</v>
      </c>
      <c r="D85" s="57" t="s">
        <v>144</v>
      </c>
      <c r="E85" s="28">
        <f>73+442</f>
        <v>515</v>
      </c>
      <c r="F85" s="15"/>
      <c r="G85" s="38">
        <f t="shared" si="135"/>
        <v>515</v>
      </c>
      <c r="H85" s="43"/>
      <c r="I85" s="57"/>
      <c r="J85" s="28">
        <f t="shared" si="136"/>
        <v>515</v>
      </c>
      <c r="K85" s="15"/>
      <c r="L85" s="38">
        <f t="shared" si="137"/>
        <v>515</v>
      </c>
      <c r="M85" s="28">
        <v>86.697550000000007</v>
      </c>
      <c r="N85" s="15"/>
      <c r="O85" s="38">
        <f t="shared" si="138"/>
        <v>86.697550000000007</v>
      </c>
      <c r="P85" s="183">
        <f t="shared" si="152"/>
        <v>16.83447572815534</v>
      </c>
      <c r="Q85" s="28">
        <v>180.70098999999999</v>
      </c>
      <c r="R85" s="15"/>
      <c r="S85" s="38">
        <f t="shared" si="139"/>
        <v>180.70098999999999</v>
      </c>
      <c r="T85" s="199">
        <f t="shared" si="153"/>
        <v>35.087570873786404</v>
      </c>
      <c r="U85" s="28">
        <v>286.09098</v>
      </c>
      <c r="V85" s="15"/>
      <c r="W85" s="38">
        <f t="shared" si="140"/>
        <v>286.09098</v>
      </c>
      <c r="X85" s="206">
        <f t="shared" si="154"/>
        <v>55.551646601941748</v>
      </c>
      <c r="Y85" s="28">
        <v>400.08224000000001</v>
      </c>
      <c r="Z85" s="15"/>
      <c r="AA85" s="38">
        <f t="shared" si="141"/>
        <v>400.08224000000001</v>
      </c>
      <c r="AB85" s="191">
        <f t="shared" si="156"/>
        <v>77.685871844660198</v>
      </c>
      <c r="AC85" s="319">
        <f t="shared" si="142"/>
        <v>114.91775999999999</v>
      </c>
      <c r="AD85" s="332">
        <f>123+466</f>
        <v>589</v>
      </c>
      <c r="AE85" s="338"/>
      <c r="AF85" s="138">
        <f t="shared" si="143"/>
        <v>589</v>
      </c>
      <c r="AG85" s="191">
        <f t="shared" si="155"/>
        <v>114.36893203883496</v>
      </c>
      <c r="AH85" s="146"/>
      <c r="AI85" s="544" t="s">
        <v>68</v>
      </c>
      <c r="AJ85" s="351" t="s">
        <v>255</v>
      </c>
    </row>
    <row r="86" spans="1:36" x14ac:dyDescent="0.2">
      <c r="A86" s="67"/>
      <c r="B86" s="22">
        <v>3639</v>
      </c>
      <c r="C86" s="22">
        <v>319</v>
      </c>
      <c r="D86" s="57" t="s">
        <v>230</v>
      </c>
      <c r="E86" s="28">
        <v>227</v>
      </c>
      <c r="F86" s="15"/>
      <c r="G86" s="38">
        <f t="shared" si="135"/>
        <v>227</v>
      </c>
      <c r="H86" s="28"/>
      <c r="I86" s="57"/>
      <c r="J86" s="28">
        <f t="shared" si="136"/>
        <v>227</v>
      </c>
      <c r="K86" s="15"/>
      <c r="L86" s="38">
        <f t="shared" si="137"/>
        <v>227</v>
      </c>
      <c r="M86" s="28">
        <v>56.7</v>
      </c>
      <c r="N86" s="15"/>
      <c r="O86" s="38">
        <f t="shared" si="138"/>
        <v>56.7</v>
      </c>
      <c r="P86" s="183">
        <f t="shared" si="152"/>
        <v>24.977973568281939</v>
      </c>
      <c r="Q86" s="28">
        <v>113.4</v>
      </c>
      <c r="R86" s="15"/>
      <c r="S86" s="38">
        <f t="shared" si="139"/>
        <v>113.4</v>
      </c>
      <c r="T86" s="199">
        <f t="shared" si="153"/>
        <v>49.955947136563879</v>
      </c>
      <c r="U86" s="28">
        <f>170.1</f>
        <v>170.1</v>
      </c>
      <c r="V86" s="15"/>
      <c r="W86" s="38">
        <f t="shared" si="140"/>
        <v>170.1</v>
      </c>
      <c r="X86" s="206">
        <f t="shared" si="154"/>
        <v>74.933920704845818</v>
      </c>
      <c r="Y86" s="28">
        <v>226.8</v>
      </c>
      <c r="Z86" s="15"/>
      <c r="AA86" s="38">
        <f t="shared" si="141"/>
        <v>226.8</v>
      </c>
      <c r="AB86" s="191">
        <f t="shared" si="156"/>
        <v>99.911894273127757</v>
      </c>
      <c r="AC86" s="319">
        <f t="shared" si="142"/>
        <v>0.19999999999998863</v>
      </c>
      <c r="AD86" s="332">
        <v>227</v>
      </c>
      <c r="AE86" s="338"/>
      <c r="AF86" s="138">
        <f t="shared" si="143"/>
        <v>227</v>
      </c>
      <c r="AG86" s="191">
        <f t="shared" si="155"/>
        <v>100</v>
      </c>
      <c r="AH86" s="146" t="s">
        <v>370</v>
      </c>
      <c r="AI86" s="332" t="s">
        <v>340</v>
      </c>
      <c r="AJ86" s="351" t="s">
        <v>68</v>
      </c>
    </row>
    <row r="87" spans="1:36" x14ac:dyDescent="0.2">
      <c r="A87" s="76"/>
      <c r="B87" s="25">
        <v>3639</v>
      </c>
      <c r="C87" s="25">
        <v>319.20999999999998</v>
      </c>
      <c r="D87" s="168" t="s">
        <v>228</v>
      </c>
      <c r="E87" s="50">
        <f>10+96</f>
        <v>106</v>
      </c>
      <c r="F87" s="15"/>
      <c r="G87" s="38">
        <f t="shared" si="135"/>
        <v>106</v>
      </c>
      <c r="H87" s="42"/>
      <c r="I87" s="168"/>
      <c r="J87" s="28">
        <f t="shared" si="136"/>
        <v>106</v>
      </c>
      <c r="K87" s="45"/>
      <c r="L87" s="44">
        <f t="shared" si="137"/>
        <v>106</v>
      </c>
      <c r="M87" s="50">
        <v>20.85</v>
      </c>
      <c r="N87" s="15"/>
      <c r="O87" s="38">
        <f t="shared" si="138"/>
        <v>20.85</v>
      </c>
      <c r="P87" s="185">
        <f t="shared" ref="P87" si="157">O87/$L87*100</f>
        <v>19.669811320754718</v>
      </c>
      <c r="Q87" s="50">
        <v>42.521000000000001</v>
      </c>
      <c r="R87" s="15"/>
      <c r="S87" s="38">
        <f t="shared" si="139"/>
        <v>42.521000000000001</v>
      </c>
      <c r="T87" s="201">
        <f t="shared" ref="T87:T93" si="158">S87/$L87*100</f>
        <v>40.114150943396226</v>
      </c>
      <c r="U87" s="50">
        <v>63.941000000000003</v>
      </c>
      <c r="V87" s="15"/>
      <c r="W87" s="38">
        <f t="shared" si="140"/>
        <v>63.941000000000003</v>
      </c>
      <c r="X87" s="208">
        <f t="shared" ref="X87:X93" si="159">W87/$L87*100</f>
        <v>60.321698113207546</v>
      </c>
      <c r="Y87" s="28">
        <f>84.881</f>
        <v>84.881</v>
      </c>
      <c r="Z87" s="15"/>
      <c r="AA87" s="38">
        <f t="shared" si="141"/>
        <v>84.881</v>
      </c>
      <c r="AB87" s="391">
        <f t="shared" ref="AB87:AB94" si="160">AA87/$L87*100</f>
        <v>80.076415094339623</v>
      </c>
      <c r="AC87" s="319">
        <f t="shared" si="142"/>
        <v>21.119</v>
      </c>
      <c r="AD87" s="345">
        <v>110</v>
      </c>
      <c r="AE87" s="338"/>
      <c r="AF87" s="138">
        <f t="shared" si="143"/>
        <v>110</v>
      </c>
      <c r="AG87" s="391">
        <f t="shared" ref="AG87" si="161">AF87/$G87*100</f>
        <v>103.77358490566037</v>
      </c>
      <c r="AH87" s="148" t="s">
        <v>295</v>
      </c>
      <c r="AI87" s="580" t="s">
        <v>340</v>
      </c>
      <c r="AJ87" s="579" t="s">
        <v>68</v>
      </c>
    </row>
    <row r="88" spans="1:36" x14ac:dyDescent="0.2">
      <c r="A88" s="75">
        <v>37</v>
      </c>
      <c r="B88" s="20"/>
      <c r="C88" s="20"/>
      <c r="D88" s="167" t="s">
        <v>112</v>
      </c>
      <c r="E88" s="165">
        <f t="shared" ref="E88:O88" si="162">SUM(E89:E97)</f>
        <v>13890</v>
      </c>
      <c r="F88" s="40">
        <f t="shared" si="162"/>
        <v>1830</v>
      </c>
      <c r="G88" s="41">
        <f t="shared" si="162"/>
        <v>15720</v>
      </c>
      <c r="H88" s="39">
        <f t="shared" si="162"/>
        <v>490</v>
      </c>
      <c r="I88" s="41">
        <f t="shared" si="162"/>
        <v>0</v>
      </c>
      <c r="J88" s="39">
        <f t="shared" si="162"/>
        <v>14380</v>
      </c>
      <c r="K88" s="40">
        <f t="shared" si="162"/>
        <v>1830</v>
      </c>
      <c r="L88" s="41">
        <f t="shared" si="162"/>
        <v>16210</v>
      </c>
      <c r="M88" s="39">
        <f t="shared" si="162"/>
        <v>2768.5522900000005</v>
      </c>
      <c r="N88" s="40">
        <f t="shared" si="162"/>
        <v>914.92749000000003</v>
      </c>
      <c r="O88" s="41">
        <f t="shared" si="162"/>
        <v>3683.4797800000006</v>
      </c>
      <c r="P88" s="184">
        <f t="shared" ref="P88:P124" si="163">O88/$L88*100</f>
        <v>22.723502652683532</v>
      </c>
      <c r="Q88" s="39">
        <f>SUM(Q89:Q97)</f>
        <v>5282.7846600000012</v>
      </c>
      <c r="R88" s="40">
        <f>SUM(R89:R97)</f>
        <v>914.92749000000003</v>
      </c>
      <c r="S88" s="41">
        <f>SUM(S89:S97)</f>
        <v>6197.7121500000012</v>
      </c>
      <c r="T88" s="200">
        <f t="shared" si="158"/>
        <v>38.233881246144364</v>
      </c>
      <c r="U88" s="39">
        <f>SUM(U89:U97)</f>
        <v>9815.1567500000019</v>
      </c>
      <c r="V88" s="40">
        <f>SUM(V89:V97)</f>
        <v>1829.855</v>
      </c>
      <c r="W88" s="41">
        <f>SUM(W89:W97)</f>
        <v>11645.011750000001</v>
      </c>
      <c r="X88" s="207">
        <f t="shared" si="159"/>
        <v>71.838443861813701</v>
      </c>
      <c r="Y88" s="39">
        <f>SUM(Y89:Y97)</f>
        <v>13360.687159999999</v>
      </c>
      <c r="Z88" s="40">
        <f>SUM(Z89:Z97)</f>
        <v>1829.85501</v>
      </c>
      <c r="AA88" s="41">
        <f>SUM(AA89:AA97)</f>
        <v>15190.542170000001</v>
      </c>
      <c r="AB88" s="385">
        <f t="shared" si="160"/>
        <v>93.710932572486129</v>
      </c>
      <c r="AC88" s="320">
        <f>SUM(AC89:AC97)</f>
        <v>1019.4578299999994</v>
      </c>
      <c r="AD88" s="336">
        <f>SUM(AD89:AD97)</f>
        <v>16827</v>
      </c>
      <c r="AE88" s="337">
        <f>SUM(AE89:AE97)</f>
        <v>0</v>
      </c>
      <c r="AF88" s="174">
        <f>SUM(AF89:AF97)</f>
        <v>16827</v>
      </c>
      <c r="AG88" s="385">
        <f t="shared" ref="AG88:AG96" si="164">AF88/$G88*100</f>
        <v>107.04198473282443</v>
      </c>
      <c r="AH88" s="147"/>
      <c r="AI88" s="342"/>
      <c r="AJ88" s="578"/>
    </row>
    <row r="89" spans="1:36" x14ac:dyDescent="0.2">
      <c r="A89" s="67"/>
      <c r="B89" s="22">
        <v>3722</v>
      </c>
      <c r="C89" s="22">
        <v>240</v>
      </c>
      <c r="D89" s="57" t="s">
        <v>77</v>
      </c>
      <c r="E89" s="15">
        <f>7459</f>
        <v>7459</v>
      </c>
      <c r="F89" s="15"/>
      <c r="G89" s="38">
        <f>E89+F89</f>
        <v>7459</v>
      </c>
      <c r="H89" s="310">
        <v>270</v>
      </c>
      <c r="I89" s="57"/>
      <c r="J89" s="28">
        <f t="shared" ref="J89:J97" si="165">E89+H89</f>
        <v>7729</v>
      </c>
      <c r="K89" s="15"/>
      <c r="L89" s="38">
        <f t="shared" ref="L89:L97" si="166">SUM(J89:K89)</f>
        <v>7729</v>
      </c>
      <c r="M89" s="28">
        <v>2256.7283000000002</v>
      </c>
      <c r="N89" s="15"/>
      <c r="O89" s="38">
        <f>M89+N89</f>
        <v>2256.7283000000002</v>
      </c>
      <c r="P89" s="183">
        <f t="shared" si="163"/>
        <v>29.198192521671629</v>
      </c>
      <c r="Q89" s="28">
        <v>3993.5782100000001</v>
      </c>
      <c r="R89" s="15"/>
      <c r="S89" s="38">
        <f>Q89+R89</f>
        <v>3993.5782100000001</v>
      </c>
      <c r="T89" s="199">
        <f t="shared" si="158"/>
        <v>51.670050588691943</v>
      </c>
      <c r="U89" s="28">
        <v>6317.28377</v>
      </c>
      <c r="V89" s="15"/>
      <c r="W89" s="38">
        <f>U89+V89</f>
        <v>6317.28377</v>
      </c>
      <c r="X89" s="206">
        <f t="shared" si="159"/>
        <v>81.73481394747057</v>
      </c>
      <c r="Y89" s="28">
        <f>7651.37632+20.328+16.9871</f>
        <v>7688.691420000001</v>
      </c>
      <c r="Z89" s="15"/>
      <c r="AA89" s="38">
        <f t="shared" ref="AA89:AA97" si="167">Y89+Z89</f>
        <v>7688.691420000001</v>
      </c>
      <c r="AB89" s="191">
        <f t="shared" si="160"/>
        <v>99.478476128865324</v>
      </c>
      <c r="AC89" s="319">
        <f t="shared" ref="AC89:AC97" si="168">L89-AA89</f>
        <v>40.308579999998983</v>
      </c>
      <c r="AD89" s="338">
        <f>9094+300</f>
        <v>9394</v>
      </c>
      <c r="AE89" s="338"/>
      <c r="AF89" s="138">
        <f>AD89+AE89</f>
        <v>9394</v>
      </c>
      <c r="AG89" s="191">
        <f t="shared" si="164"/>
        <v>125.94181525673682</v>
      </c>
      <c r="AH89" s="146"/>
      <c r="AI89" s="332" t="s">
        <v>261</v>
      </c>
      <c r="AJ89" s="351" t="s">
        <v>181</v>
      </c>
    </row>
    <row r="90" spans="1:36" x14ac:dyDescent="0.2">
      <c r="A90" s="67"/>
      <c r="B90" s="22">
        <v>3722</v>
      </c>
      <c r="C90" s="22">
        <v>5110</v>
      </c>
      <c r="D90" s="57" t="s">
        <v>237</v>
      </c>
      <c r="E90" s="28">
        <v>361</v>
      </c>
      <c r="F90" s="15"/>
      <c r="G90" s="38">
        <f t="shared" ref="G90:G95" si="169">E90+F90</f>
        <v>361</v>
      </c>
      <c r="H90" s="310"/>
      <c r="I90" s="57"/>
      <c r="J90" s="28">
        <f t="shared" si="165"/>
        <v>361</v>
      </c>
      <c r="K90" s="15">
        <f>F90+I90</f>
        <v>0</v>
      </c>
      <c r="L90" s="38">
        <f t="shared" si="166"/>
        <v>361</v>
      </c>
      <c r="M90" s="28">
        <v>0</v>
      </c>
      <c r="N90" s="15"/>
      <c r="O90" s="38">
        <f t="shared" ref="O90:O94" si="170">M90+N90</f>
        <v>0</v>
      </c>
      <c r="P90" s="183">
        <f t="shared" si="163"/>
        <v>0</v>
      </c>
      <c r="Q90" s="28">
        <v>89.503</v>
      </c>
      <c r="R90" s="15"/>
      <c r="S90" s="38">
        <f t="shared" ref="S90:S94" si="171">Q90+R90</f>
        <v>89.503</v>
      </c>
      <c r="T90" s="199">
        <f t="shared" si="158"/>
        <v>24.793074792243765</v>
      </c>
      <c r="U90" s="28">
        <v>360.50299999999999</v>
      </c>
      <c r="V90" s="15"/>
      <c r="W90" s="38">
        <f t="shared" ref="W90:W95" si="172">U90+V90</f>
        <v>360.50299999999999</v>
      </c>
      <c r="X90" s="206">
        <f t="shared" si="159"/>
        <v>99.862326869806097</v>
      </c>
      <c r="Y90" s="28">
        <v>360.50299999999999</v>
      </c>
      <c r="Z90" s="15"/>
      <c r="AA90" s="38">
        <f t="shared" si="167"/>
        <v>360.50299999999999</v>
      </c>
      <c r="AB90" s="191">
        <f t="shared" si="160"/>
        <v>99.862326869806097</v>
      </c>
      <c r="AC90" s="319">
        <f t="shared" si="168"/>
        <v>0.4970000000000141</v>
      </c>
      <c r="AD90" s="332">
        <f>559+141</f>
        <v>700</v>
      </c>
      <c r="AE90" s="338"/>
      <c r="AF90" s="138">
        <f t="shared" ref="AF90:AF95" si="173">AD90+AE90</f>
        <v>700</v>
      </c>
      <c r="AG90" s="191">
        <f t="shared" si="164"/>
        <v>193.90581717451522</v>
      </c>
      <c r="AH90" s="146"/>
      <c r="AI90" s="332" t="s">
        <v>261</v>
      </c>
      <c r="AJ90" s="351" t="s">
        <v>181</v>
      </c>
    </row>
    <row r="91" spans="1:36" x14ac:dyDescent="0.2">
      <c r="A91" s="67"/>
      <c r="B91" s="22">
        <v>3722</v>
      </c>
      <c r="C91" s="22" t="s">
        <v>331</v>
      </c>
      <c r="D91" s="57" t="s">
        <v>320</v>
      </c>
      <c r="E91" s="15"/>
      <c r="F91" s="15">
        <f>915+915</f>
        <v>1830</v>
      </c>
      <c r="G91" s="38">
        <f t="shared" si="169"/>
        <v>1830</v>
      </c>
      <c r="H91" s="310"/>
      <c r="I91" s="57"/>
      <c r="J91" s="28">
        <f t="shared" si="165"/>
        <v>0</v>
      </c>
      <c r="K91" s="15">
        <f t="shared" ref="K91:K93" si="174">F91+I91</f>
        <v>1830</v>
      </c>
      <c r="L91" s="38">
        <f t="shared" si="166"/>
        <v>1830</v>
      </c>
      <c r="M91" s="28">
        <v>0</v>
      </c>
      <c r="N91" s="15">
        <v>914.92749000000003</v>
      </c>
      <c r="O91" s="38">
        <f t="shared" si="170"/>
        <v>914.92749000000003</v>
      </c>
      <c r="P91" s="183">
        <f t="shared" si="163"/>
        <v>49.996037704918031</v>
      </c>
      <c r="Q91" s="28"/>
      <c r="R91" s="15">
        <v>914.92749000000003</v>
      </c>
      <c r="S91" s="38">
        <f t="shared" si="171"/>
        <v>914.92749000000003</v>
      </c>
      <c r="T91" s="199">
        <f t="shared" si="158"/>
        <v>49.996037704918031</v>
      </c>
      <c r="U91" s="28"/>
      <c r="V91" s="15">
        <v>1829.855</v>
      </c>
      <c r="W91" s="38">
        <f t="shared" si="172"/>
        <v>1829.855</v>
      </c>
      <c r="X91" s="206">
        <f t="shared" si="159"/>
        <v>99.992076502732246</v>
      </c>
      <c r="Y91" s="28"/>
      <c r="Z91" s="10">
        <v>1829.85501</v>
      </c>
      <c r="AA91" s="38">
        <f t="shared" si="167"/>
        <v>1829.85501</v>
      </c>
      <c r="AB91" s="191">
        <f t="shared" si="160"/>
        <v>99.992077049180324</v>
      </c>
      <c r="AC91" s="319">
        <f t="shared" si="168"/>
        <v>0.14499000000000706</v>
      </c>
      <c r="AD91" s="338"/>
      <c r="AE91" s="338"/>
      <c r="AF91" s="138">
        <f t="shared" si="173"/>
        <v>0</v>
      </c>
      <c r="AG91" s="191">
        <f t="shared" si="164"/>
        <v>0</v>
      </c>
      <c r="AH91" s="146"/>
      <c r="AI91" s="332" t="s">
        <v>261</v>
      </c>
      <c r="AJ91" s="351" t="s">
        <v>113</v>
      </c>
    </row>
    <row r="92" spans="1:36" x14ac:dyDescent="0.2">
      <c r="A92" s="67"/>
      <c r="B92" s="22">
        <v>3722</v>
      </c>
      <c r="C92" s="22">
        <v>250</v>
      </c>
      <c r="D92" s="57" t="s">
        <v>561</v>
      </c>
      <c r="E92" s="28"/>
      <c r="F92" s="15"/>
      <c r="G92" s="38">
        <f t="shared" si="169"/>
        <v>0</v>
      </c>
      <c r="H92" s="310">
        <v>220</v>
      </c>
      <c r="I92" s="57"/>
      <c r="J92" s="28">
        <f t="shared" si="165"/>
        <v>220</v>
      </c>
      <c r="K92" s="15">
        <f t="shared" si="174"/>
        <v>0</v>
      </c>
      <c r="L92" s="38">
        <f t="shared" si="166"/>
        <v>220</v>
      </c>
      <c r="M92" s="28">
        <v>0</v>
      </c>
      <c r="N92" s="15"/>
      <c r="O92" s="38">
        <f t="shared" si="170"/>
        <v>0</v>
      </c>
      <c r="P92" s="183"/>
      <c r="Q92" s="28"/>
      <c r="R92" s="15"/>
      <c r="S92" s="38">
        <f t="shared" si="171"/>
        <v>0</v>
      </c>
      <c r="T92" s="199"/>
      <c r="U92" s="28"/>
      <c r="V92" s="15"/>
      <c r="W92" s="38">
        <f t="shared" si="172"/>
        <v>0</v>
      </c>
      <c r="X92" s="206">
        <f t="shared" si="159"/>
        <v>0</v>
      </c>
      <c r="Y92" s="28">
        <v>196.02</v>
      </c>
      <c r="Z92" s="15"/>
      <c r="AA92" s="38">
        <f t="shared" si="167"/>
        <v>196.02</v>
      </c>
      <c r="AB92" s="191">
        <f t="shared" si="160"/>
        <v>89.1</v>
      </c>
      <c r="AC92" s="319">
        <f t="shared" si="168"/>
        <v>23.97999999999999</v>
      </c>
      <c r="AD92" s="338">
        <v>300</v>
      </c>
      <c r="AE92" s="338"/>
      <c r="AF92" s="138">
        <f t="shared" si="173"/>
        <v>300</v>
      </c>
      <c r="AG92" s="191"/>
      <c r="AH92" s="146"/>
      <c r="AI92" s="332" t="s">
        <v>261</v>
      </c>
      <c r="AJ92" s="583" t="s">
        <v>254</v>
      </c>
    </row>
    <row r="93" spans="1:36" x14ac:dyDescent="0.2">
      <c r="A93" s="67"/>
      <c r="B93" s="22">
        <v>3745</v>
      </c>
      <c r="C93" s="22">
        <v>241</v>
      </c>
      <c r="D93" s="57" t="s">
        <v>78</v>
      </c>
      <c r="E93" s="28">
        <f>1736+2317+300+300</f>
        <v>4653</v>
      </c>
      <c r="F93" s="15"/>
      <c r="G93" s="38">
        <f t="shared" si="169"/>
        <v>4653</v>
      </c>
      <c r="H93" s="310"/>
      <c r="I93" s="57"/>
      <c r="J93" s="28">
        <f t="shared" si="165"/>
        <v>4653</v>
      </c>
      <c r="K93" s="15">
        <f t="shared" si="174"/>
        <v>0</v>
      </c>
      <c r="L93" s="38">
        <f t="shared" si="166"/>
        <v>4653</v>
      </c>
      <c r="M93" s="28">
        <v>442.327</v>
      </c>
      <c r="N93" s="15"/>
      <c r="O93" s="38">
        <f t="shared" si="170"/>
        <v>442.327</v>
      </c>
      <c r="P93" s="183">
        <f>O93/$L93*100</f>
        <v>9.5062755211691385</v>
      </c>
      <c r="Q93" s="28">
        <v>1089.4344599999999</v>
      </c>
      <c r="R93" s="15"/>
      <c r="S93" s="38">
        <f t="shared" si="171"/>
        <v>1089.4344599999999</v>
      </c>
      <c r="T93" s="199">
        <f t="shared" si="158"/>
        <v>23.413592520954221</v>
      </c>
      <c r="U93" s="28">
        <v>2671.50425</v>
      </c>
      <c r="V93" s="15"/>
      <c r="W93" s="38">
        <f t="shared" si="172"/>
        <v>2671.50425</v>
      </c>
      <c r="X93" s="206">
        <f t="shared" si="159"/>
        <v>57.414662583279608</v>
      </c>
      <c r="Y93" s="28">
        <f>2230.93982+1984</f>
        <v>4214.9398199999996</v>
      </c>
      <c r="Z93" s="15"/>
      <c r="AA93" s="38">
        <f t="shared" si="167"/>
        <v>4214.9398199999996</v>
      </c>
      <c r="AB93" s="191">
        <f t="shared" si="160"/>
        <v>90.585424887169566</v>
      </c>
      <c r="AC93" s="319">
        <f t="shared" si="168"/>
        <v>438.0601800000004</v>
      </c>
      <c r="AD93" s="338">
        <f>2513+37+2383</f>
        <v>4933</v>
      </c>
      <c r="AE93" s="338"/>
      <c r="AF93" s="138">
        <f t="shared" si="173"/>
        <v>4933</v>
      </c>
      <c r="AG93" s="191">
        <f t="shared" si="164"/>
        <v>106.01762303889963</v>
      </c>
      <c r="AH93" s="146" t="s">
        <v>559</v>
      </c>
      <c r="AI93" s="332" t="s">
        <v>239</v>
      </c>
      <c r="AJ93" s="351" t="s">
        <v>181</v>
      </c>
    </row>
    <row r="94" spans="1:36" x14ac:dyDescent="0.2">
      <c r="A94" s="67"/>
      <c r="B94" s="22">
        <v>3745</v>
      </c>
      <c r="C94" s="22">
        <v>242</v>
      </c>
      <c r="D94" s="57" t="s">
        <v>209</v>
      </c>
      <c r="E94" s="28">
        <f>417</f>
        <v>417</v>
      </c>
      <c r="F94" s="15"/>
      <c r="G94" s="38">
        <f t="shared" si="169"/>
        <v>417</v>
      </c>
      <c r="H94" s="28"/>
      <c r="I94" s="57"/>
      <c r="J94" s="28">
        <f t="shared" si="165"/>
        <v>417</v>
      </c>
      <c r="K94" s="15"/>
      <c r="L94" s="38">
        <f t="shared" si="166"/>
        <v>417</v>
      </c>
      <c r="M94" s="28">
        <v>64.510000000000005</v>
      </c>
      <c r="N94" s="15"/>
      <c r="O94" s="38">
        <f t="shared" si="170"/>
        <v>64.510000000000005</v>
      </c>
      <c r="P94" s="183">
        <f>O94/$L94*100</f>
        <v>15.470023980815348</v>
      </c>
      <c r="Q94" s="28">
        <v>105.282</v>
      </c>
      <c r="R94" s="15"/>
      <c r="S94" s="38">
        <f t="shared" si="171"/>
        <v>105.282</v>
      </c>
      <c r="T94" s="199">
        <f>S94/$L94*100</f>
        <v>25.247482014388488</v>
      </c>
      <c r="U94" s="28">
        <v>425.23525000000001</v>
      </c>
      <c r="V94" s="15"/>
      <c r="W94" s="38">
        <f t="shared" si="172"/>
        <v>425.23525000000001</v>
      </c>
      <c r="X94" s="206">
        <f>W94/$L94*100</f>
        <v>101.97488009592325</v>
      </c>
      <c r="Y94" s="28">
        <v>425.23523999999998</v>
      </c>
      <c r="Z94" s="15"/>
      <c r="AA94" s="38">
        <f t="shared" si="167"/>
        <v>425.23523999999998</v>
      </c>
      <c r="AB94" s="191">
        <f t="shared" si="160"/>
        <v>101.97487769784172</v>
      </c>
      <c r="AC94" s="319">
        <f t="shared" si="168"/>
        <v>-8.2352399999999761</v>
      </c>
      <c r="AD94" s="332">
        <v>500</v>
      </c>
      <c r="AE94" s="338"/>
      <c r="AF94" s="138">
        <v>500</v>
      </c>
      <c r="AG94" s="191">
        <f t="shared" si="164"/>
        <v>119.90407673860912</v>
      </c>
      <c r="AH94" s="146"/>
      <c r="AI94" s="332" t="s">
        <v>239</v>
      </c>
      <c r="AJ94" s="351" t="s">
        <v>181</v>
      </c>
    </row>
    <row r="95" spans="1:36" x14ac:dyDescent="0.2">
      <c r="A95" s="67"/>
      <c r="B95" s="22">
        <v>3745</v>
      </c>
      <c r="C95" s="22">
        <v>212</v>
      </c>
      <c r="D95" s="57" t="s">
        <v>371</v>
      </c>
      <c r="E95" s="28">
        <v>800</v>
      </c>
      <c r="F95" s="15"/>
      <c r="G95" s="38">
        <f t="shared" si="169"/>
        <v>800</v>
      </c>
      <c r="H95" s="28"/>
      <c r="I95" s="57"/>
      <c r="J95" s="28">
        <f t="shared" si="165"/>
        <v>800</v>
      </c>
      <c r="K95" s="15"/>
      <c r="L95" s="38">
        <f t="shared" si="166"/>
        <v>800</v>
      </c>
      <c r="M95" s="28">
        <v>0</v>
      </c>
      <c r="N95" s="15"/>
      <c r="O95" s="38"/>
      <c r="P95" s="183"/>
      <c r="Q95" s="28"/>
      <c r="R95" s="15"/>
      <c r="S95" s="38"/>
      <c r="T95" s="199"/>
      <c r="U95" s="28">
        <v>15.125</v>
      </c>
      <c r="V95" s="15"/>
      <c r="W95" s="38">
        <f t="shared" si="172"/>
        <v>15.125</v>
      </c>
      <c r="X95" s="206"/>
      <c r="Y95" s="28">
        <v>401.64</v>
      </c>
      <c r="Z95" s="15"/>
      <c r="AA95" s="38">
        <f t="shared" si="167"/>
        <v>401.64</v>
      </c>
      <c r="AB95" s="191">
        <f t="shared" ref="AB95:AB96" si="175">AA95/$L95*100</f>
        <v>50.204999999999998</v>
      </c>
      <c r="AC95" s="319">
        <f t="shared" si="168"/>
        <v>398.36</v>
      </c>
      <c r="AD95" s="332">
        <v>800</v>
      </c>
      <c r="AE95" s="338"/>
      <c r="AF95" s="138">
        <f t="shared" si="173"/>
        <v>800</v>
      </c>
      <c r="AG95" s="191"/>
      <c r="AH95" s="146"/>
      <c r="AI95" s="332" t="s">
        <v>254</v>
      </c>
      <c r="AJ95" s="351" t="s">
        <v>113</v>
      </c>
    </row>
    <row r="96" spans="1:36" x14ac:dyDescent="0.2">
      <c r="A96" s="67"/>
      <c r="B96" s="22">
        <v>3745</v>
      </c>
      <c r="C96" s="22">
        <v>246</v>
      </c>
      <c r="D96" s="57" t="s">
        <v>356</v>
      </c>
      <c r="E96" s="28">
        <v>200</v>
      </c>
      <c r="F96" s="15"/>
      <c r="G96" s="38">
        <f>E96+F96</f>
        <v>200</v>
      </c>
      <c r="H96" s="310"/>
      <c r="I96" s="57"/>
      <c r="J96" s="28">
        <f t="shared" si="165"/>
        <v>200</v>
      </c>
      <c r="K96" s="15">
        <f>F96+I96</f>
        <v>0</v>
      </c>
      <c r="L96" s="38">
        <f t="shared" si="166"/>
        <v>200</v>
      </c>
      <c r="M96" s="28">
        <v>4.84</v>
      </c>
      <c r="N96" s="15"/>
      <c r="O96" s="38">
        <f>M96+N96</f>
        <v>4.84</v>
      </c>
      <c r="P96" s="183">
        <f>O96/$L96*100</f>
        <v>2.42</v>
      </c>
      <c r="Q96" s="28">
        <v>4.84</v>
      </c>
      <c r="R96" s="15"/>
      <c r="S96" s="38">
        <f>Q96+R96</f>
        <v>4.84</v>
      </c>
      <c r="T96" s="199">
        <f>S96/$L96*100</f>
        <v>2.42</v>
      </c>
      <c r="U96" s="28">
        <v>25.332560000000001</v>
      </c>
      <c r="V96" s="15"/>
      <c r="W96" s="38">
        <f>U96+V96</f>
        <v>25.332560000000001</v>
      </c>
      <c r="X96" s="206">
        <f>W96/$L96*100</f>
        <v>12.666279999999999</v>
      </c>
      <c r="Y96" s="28">
        <v>73.426900000000003</v>
      </c>
      <c r="Z96" s="15"/>
      <c r="AA96" s="38">
        <f t="shared" si="167"/>
        <v>73.426900000000003</v>
      </c>
      <c r="AB96" s="191">
        <f t="shared" si="175"/>
        <v>36.713450000000002</v>
      </c>
      <c r="AC96" s="319">
        <f t="shared" si="168"/>
        <v>126.5731</v>
      </c>
      <c r="AD96" s="332">
        <v>200</v>
      </c>
      <c r="AE96" s="338"/>
      <c r="AF96" s="138">
        <f>AD96+AE96</f>
        <v>200</v>
      </c>
      <c r="AG96" s="191">
        <f t="shared" si="164"/>
        <v>100</v>
      </c>
      <c r="AH96" s="146"/>
      <c r="AI96" s="544" t="s">
        <v>273</v>
      </c>
      <c r="AJ96" s="351" t="s">
        <v>113</v>
      </c>
    </row>
    <row r="97" spans="1:36" x14ac:dyDescent="0.2">
      <c r="A97" s="76"/>
      <c r="B97" s="25">
        <v>3745</v>
      </c>
      <c r="C97" s="25">
        <v>1544</v>
      </c>
      <c r="D97" s="168" t="s">
        <v>241</v>
      </c>
      <c r="E97" s="42"/>
      <c r="F97" s="45"/>
      <c r="G97" s="44">
        <f>E97+F97</f>
        <v>0</v>
      </c>
      <c r="H97" s="46"/>
      <c r="I97" s="168"/>
      <c r="J97" s="42">
        <f t="shared" si="165"/>
        <v>0</v>
      </c>
      <c r="K97" s="45"/>
      <c r="L97" s="44">
        <f t="shared" si="166"/>
        <v>0</v>
      </c>
      <c r="M97" s="42">
        <v>0.14699000000000001</v>
      </c>
      <c r="N97" s="45"/>
      <c r="O97" s="44">
        <f>M97+N97</f>
        <v>0.14699000000000001</v>
      </c>
      <c r="P97" s="187"/>
      <c r="Q97" s="42">
        <v>0.14699000000000001</v>
      </c>
      <c r="R97" s="45"/>
      <c r="S97" s="44">
        <f>Q97+R97</f>
        <v>0.14699000000000001</v>
      </c>
      <c r="T97" s="203"/>
      <c r="U97" s="42">
        <v>0.17291999999999999</v>
      </c>
      <c r="V97" s="45"/>
      <c r="W97" s="44">
        <f>U97+V97</f>
        <v>0.17291999999999999</v>
      </c>
      <c r="X97" s="208"/>
      <c r="Y97" s="42">
        <v>0.23078000000000001</v>
      </c>
      <c r="Z97" s="45"/>
      <c r="AA97" s="44">
        <f t="shared" si="167"/>
        <v>0.23078000000000001</v>
      </c>
      <c r="AB97" s="391"/>
      <c r="AC97" s="319">
        <f t="shared" si="168"/>
        <v>-0.23078000000000001</v>
      </c>
      <c r="AD97" s="340"/>
      <c r="AE97" s="341"/>
      <c r="AF97" s="175">
        <f>AD97+AE97</f>
        <v>0</v>
      </c>
      <c r="AG97" s="391"/>
      <c r="AH97" s="151"/>
      <c r="AI97" s="544"/>
      <c r="AJ97" s="351"/>
    </row>
    <row r="98" spans="1:36" x14ac:dyDescent="0.2">
      <c r="A98" s="61">
        <v>43</v>
      </c>
      <c r="B98" s="23">
        <v>4300</v>
      </c>
      <c r="C98" s="23"/>
      <c r="D98" s="58" t="s">
        <v>79</v>
      </c>
      <c r="E98" s="13">
        <f t="shared" ref="E98:O98" si="176">SUM(E99:E103)</f>
        <v>9745</v>
      </c>
      <c r="F98" s="16">
        <f t="shared" si="176"/>
        <v>710</v>
      </c>
      <c r="G98" s="37">
        <f t="shared" si="176"/>
        <v>10455</v>
      </c>
      <c r="H98" s="36">
        <f t="shared" si="176"/>
        <v>9819.0130000000008</v>
      </c>
      <c r="I98" s="37">
        <f t="shared" si="176"/>
        <v>199</v>
      </c>
      <c r="J98" s="36">
        <f t="shared" si="176"/>
        <v>19564.012999999999</v>
      </c>
      <c r="K98" s="16">
        <f t="shared" si="176"/>
        <v>909</v>
      </c>
      <c r="L98" s="37">
        <f t="shared" si="176"/>
        <v>20473.012999999999</v>
      </c>
      <c r="M98" s="36">
        <f t="shared" si="176"/>
        <v>3525.0357100000001</v>
      </c>
      <c r="N98" s="16">
        <f t="shared" si="176"/>
        <v>0</v>
      </c>
      <c r="O98" s="37">
        <f t="shared" si="176"/>
        <v>3525.0357100000001</v>
      </c>
      <c r="P98" s="186">
        <f t="shared" si="163"/>
        <v>17.217962544155078</v>
      </c>
      <c r="Q98" s="36">
        <f>SUM(Q99:Q103)</f>
        <v>12143.917229999999</v>
      </c>
      <c r="R98" s="16">
        <f>SUM(R99:R103)</f>
        <v>0</v>
      </c>
      <c r="S98" s="37">
        <f>SUM(S99:S103)</f>
        <v>12143.917229999999</v>
      </c>
      <c r="T98" s="202">
        <f t="shared" ref="T98:T107" si="177">S98/$L98*100</f>
        <v>59.316707462648509</v>
      </c>
      <c r="U98" s="36">
        <f>SUM(U99:U103)</f>
        <v>14734.234909999999</v>
      </c>
      <c r="V98" s="16">
        <f>SUM(V99:V103)</f>
        <v>799.9</v>
      </c>
      <c r="W98" s="37">
        <f>SUM(W99:W103)</f>
        <v>15534.134910000001</v>
      </c>
      <c r="X98" s="209">
        <f t="shared" ref="X98:X105" si="178">W98/$L98*100</f>
        <v>75.876154184047067</v>
      </c>
      <c r="Y98" s="36">
        <f>SUM(Y99:Y103)</f>
        <v>18060.85987</v>
      </c>
      <c r="Z98" s="16">
        <f>SUM(Z99:Z103)</f>
        <v>859.09550000000002</v>
      </c>
      <c r="AA98" s="37">
        <f>SUM(AA99:AA103)</f>
        <v>18919.955370000003</v>
      </c>
      <c r="AB98" s="389">
        <f t="shared" ref="AB98:AB105" si="179">AA98/$L98*100</f>
        <v>92.414122777140832</v>
      </c>
      <c r="AC98" s="320">
        <f>SUM(AC99:AC103)</f>
        <v>1553.0576299999996</v>
      </c>
      <c r="AD98" s="342">
        <f>SUM(AD99:AD103)</f>
        <v>10369</v>
      </c>
      <c r="AE98" s="343">
        <f>SUM(AE99:AE103)</f>
        <v>0</v>
      </c>
      <c r="AF98" s="137">
        <f>SUM(AF99:AF103)</f>
        <v>10369</v>
      </c>
      <c r="AG98" s="389">
        <f t="shared" ref="AG98:AG105" si="180">AF98/$G98*100</f>
        <v>99.17742706838834</v>
      </c>
      <c r="AH98" s="149"/>
      <c r="AI98" s="336"/>
      <c r="AJ98" s="584"/>
    </row>
    <row r="99" spans="1:36" x14ac:dyDescent="0.2">
      <c r="A99" s="67"/>
      <c r="B99" s="22">
        <v>4349</v>
      </c>
      <c r="C99" s="22">
        <v>225</v>
      </c>
      <c r="D99" s="57" t="s">
        <v>291</v>
      </c>
      <c r="E99" s="28">
        <v>1967</v>
      </c>
      <c r="F99" s="15"/>
      <c r="G99" s="38">
        <f t="shared" ref="G99:G102" si="181">E99+F99</f>
        <v>1967</v>
      </c>
      <c r="H99" s="86"/>
      <c r="I99" s="57"/>
      <c r="J99" s="28">
        <f>E99+H99</f>
        <v>1967</v>
      </c>
      <c r="K99" s="15"/>
      <c r="L99" s="38">
        <f>SUM(J99:K99)</f>
        <v>1967</v>
      </c>
      <c r="M99" s="28">
        <v>0</v>
      </c>
      <c r="N99" s="15"/>
      <c r="O99" s="38">
        <f t="shared" ref="O99:O103" si="182">M99+N99</f>
        <v>0</v>
      </c>
      <c r="P99" s="183"/>
      <c r="Q99" s="28"/>
      <c r="R99" s="15"/>
      <c r="S99" s="38">
        <f t="shared" ref="S99:S103" si="183">Q99+R99</f>
        <v>0</v>
      </c>
      <c r="T99" s="199">
        <f t="shared" si="177"/>
        <v>0</v>
      </c>
      <c r="U99" s="28">
        <v>937.09199999999998</v>
      </c>
      <c r="V99" s="15"/>
      <c r="W99" s="38">
        <f t="shared" ref="W99:W103" si="184">U99+V99</f>
        <v>937.09199999999998</v>
      </c>
      <c r="X99" s="206">
        <f t="shared" si="178"/>
        <v>47.64067107269954</v>
      </c>
      <c r="Y99" s="28">
        <v>912.09199999999998</v>
      </c>
      <c r="Z99" s="15"/>
      <c r="AA99" s="38">
        <f t="shared" ref="AA99:AA103" si="185">Y99+Z99</f>
        <v>912.09199999999998</v>
      </c>
      <c r="AB99" s="191">
        <f t="shared" si="179"/>
        <v>46.369700050838844</v>
      </c>
      <c r="AC99" s="319">
        <f t="shared" ref="AC99:AC103" si="186">L99-AA99</f>
        <v>1054.9079999999999</v>
      </c>
      <c r="AD99" s="332">
        <v>1970</v>
      </c>
      <c r="AE99" s="338"/>
      <c r="AF99" s="138">
        <f t="shared" ref="AF99:AF103" si="187">AD99+AE99</f>
        <v>1970</v>
      </c>
      <c r="AG99" s="191">
        <f t="shared" si="180"/>
        <v>100.15251652262329</v>
      </c>
      <c r="AH99" s="146" t="s">
        <v>329</v>
      </c>
      <c r="AI99" s="544" t="s">
        <v>238</v>
      </c>
      <c r="AJ99" s="351" t="s">
        <v>248</v>
      </c>
    </row>
    <row r="100" spans="1:36" x14ac:dyDescent="0.2">
      <c r="A100" s="67"/>
      <c r="B100" s="22">
        <v>4349</v>
      </c>
      <c r="C100" s="22">
        <v>228</v>
      </c>
      <c r="D100" s="57" t="s">
        <v>189</v>
      </c>
      <c r="E100" s="28">
        <v>44</v>
      </c>
      <c r="F100" s="15"/>
      <c r="G100" s="38">
        <f t="shared" si="181"/>
        <v>44</v>
      </c>
      <c r="H100" s="86"/>
      <c r="I100" s="57"/>
      <c r="J100" s="28">
        <f>E100+H100</f>
        <v>44</v>
      </c>
      <c r="K100" s="15"/>
      <c r="L100" s="38">
        <f>SUM(J100:K100)</f>
        <v>44</v>
      </c>
      <c r="M100" s="28">
        <v>0</v>
      </c>
      <c r="N100" s="15"/>
      <c r="O100" s="38">
        <f t="shared" si="182"/>
        <v>0</v>
      </c>
      <c r="P100" s="183">
        <f>O100/$L100*100</f>
        <v>0</v>
      </c>
      <c r="Q100" s="28">
        <v>1.2470000000000001</v>
      </c>
      <c r="R100" s="15"/>
      <c r="S100" s="38">
        <f t="shared" si="183"/>
        <v>1.2470000000000001</v>
      </c>
      <c r="T100" s="199">
        <f t="shared" si="177"/>
        <v>2.8340909090909094</v>
      </c>
      <c r="U100" s="28">
        <v>3.0470000000000002</v>
      </c>
      <c r="V100" s="15"/>
      <c r="W100" s="38">
        <f t="shared" si="184"/>
        <v>3.0470000000000002</v>
      </c>
      <c r="X100" s="206">
        <f t="shared" si="178"/>
        <v>6.9250000000000007</v>
      </c>
      <c r="Y100" s="28">
        <v>10.722</v>
      </c>
      <c r="Z100" s="15"/>
      <c r="AA100" s="38">
        <f t="shared" si="185"/>
        <v>10.722</v>
      </c>
      <c r="AB100" s="191">
        <f t="shared" si="179"/>
        <v>24.368181818181817</v>
      </c>
      <c r="AC100" s="319">
        <f t="shared" si="186"/>
        <v>33.277999999999999</v>
      </c>
      <c r="AD100" s="332">
        <v>44</v>
      </c>
      <c r="AE100" s="338"/>
      <c r="AF100" s="138">
        <f t="shared" si="187"/>
        <v>44</v>
      </c>
      <c r="AG100" s="191">
        <f t="shared" si="180"/>
        <v>100</v>
      </c>
      <c r="AH100" s="146"/>
      <c r="AI100" s="544" t="s">
        <v>238</v>
      </c>
      <c r="AJ100" s="351" t="s">
        <v>248</v>
      </c>
    </row>
    <row r="101" spans="1:36" x14ac:dyDescent="0.2">
      <c r="A101" s="67"/>
      <c r="B101" s="22">
        <v>4349</v>
      </c>
      <c r="C101" s="22">
        <v>254</v>
      </c>
      <c r="D101" s="57" t="s">
        <v>302</v>
      </c>
      <c r="E101" s="28">
        <v>100</v>
      </c>
      <c r="F101" s="15"/>
      <c r="G101" s="38">
        <f t="shared" si="181"/>
        <v>100</v>
      </c>
      <c r="H101" s="86"/>
      <c r="I101" s="57"/>
      <c r="J101" s="28">
        <f>E101+H101</f>
        <v>100</v>
      </c>
      <c r="K101" s="15"/>
      <c r="L101" s="38">
        <f>SUM(J101:K101)</f>
        <v>100</v>
      </c>
      <c r="M101" s="28">
        <v>0</v>
      </c>
      <c r="N101" s="15"/>
      <c r="O101" s="38">
        <f t="shared" si="182"/>
        <v>0</v>
      </c>
      <c r="P101" s="183"/>
      <c r="Q101" s="28">
        <v>100</v>
      </c>
      <c r="R101" s="15"/>
      <c r="S101" s="38">
        <f t="shared" si="183"/>
        <v>100</v>
      </c>
      <c r="T101" s="199">
        <f t="shared" si="177"/>
        <v>100</v>
      </c>
      <c r="U101" s="28">
        <v>100</v>
      </c>
      <c r="V101" s="15"/>
      <c r="W101" s="38">
        <f t="shared" si="184"/>
        <v>100</v>
      </c>
      <c r="X101" s="206">
        <f t="shared" si="178"/>
        <v>100</v>
      </c>
      <c r="Y101" s="28">
        <v>100</v>
      </c>
      <c r="Z101" s="15"/>
      <c r="AA101" s="38">
        <f t="shared" si="185"/>
        <v>100</v>
      </c>
      <c r="AB101" s="191">
        <f t="shared" si="179"/>
        <v>100</v>
      </c>
      <c r="AC101" s="319">
        <f t="shared" si="186"/>
        <v>0</v>
      </c>
      <c r="AD101" s="332">
        <v>100</v>
      </c>
      <c r="AE101" s="338"/>
      <c r="AF101" s="138">
        <f t="shared" si="187"/>
        <v>100</v>
      </c>
      <c r="AG101" s="191">
        <f t="shared" si="180"/>
        <v>100</v>
      </c>
      <c r="AH101" s="146" t="s">
        <v>310</v>
      </c>
      <c r="AI101" s="544" t="s">
        <v>238</v>
      </c>
      <c r="AJ101" s="351" t="s">
        <v>248</v>
      </c>
    </row>
    <row r="102" spans="1:36" x14ac:dyDescent="0.2">
      <c r="A102" s="67"/>
      <c r="B102" s="22">
        <v>4351</v>
      </c>
      <c r="C102" s="22" t="s">
        <v>359</v>
      </c>
      <c r="D102" s="57" t="s">
        <v>39</v>
      </c>
      <c r="E102" s="15">
        <f>5733+591</f>
        <v>6324</v>
      </c>
      <c r="F102" s="15">
        <v>710</v>
      </c>
      <c r="G102" s="38">
        <f t="shared" si="181"/>
        <v>7034</v>
      </c>
      <c r="H102" s="86">
        <f>61+57.795+20+650</f>
        <v>788.79500000000007</v>
      </c>
      <c r="I102" s="57">
        <f>-61-20+220+60</f>
        <v>199</v>
      </c>
      <c r="J102" s="28">
        <f t="shared" ref="J102" si="188">E102+H102</f>
        <v>7112.7950000000001</v>
      </c>
      <c r="K102" s="15">
        <f t="shared" ref="J102:K103" si="189">F102+I102</f>
        <v>909</v>
      </c>
      <c r="L102" s="38">
        <f>SUM(J102:K102)</f>
        <v>8021.7950000000001</v>
      </c>
      <c r="M102" s="28">
        <f>1553.67871+60.5</f>
        <v>1614.1787099999999</v>
      </c>
      <c r="N102" s="15"/>
      <c r="O102" s="38">
        <f t="shared" si="182"/>
        <v>1614.1787099999999</v>
      </c>
      <c r="P102" s="183">
        <f>O102/$L102*100</f>
        <v>20.122412876419801</v>
      </c>
      <c r="Q102" s="28">
        <f>3190.09723+79.86</f>
        <v>3269.95723</v>
      </c>
      <c r="R102" s="15"/>
      <c r="S102" s="38">
        <f t="shared" si="183"/>
        <v>3269.95723</v>
      </c>
      <c r="T102" s="199">
        <f t="shared" si="177"/>
        <v>40.763410558360071</v>
      </c>
      <c r="U102" s="28">
        <f>4728.40891+898.624-V102</f>
        <v>4827.1329100000003</v>
      </c>
      <c r="V102" s="15">
        <v>799.9</v>
      </c>
      <c r="W102" s="38">
        <f t="shared" si="184"/>
        <v>5627.0329099999999</v>
      </c>
      <c r="X102" s="206">
        <f t="shared" si="178"/>
        <v>70.146805172657736</v>
      </c>
      <c r="Y102" s="28">
        <f>6651.03937+46.7885-5991+5991</f>
        <v>6697.8278700000001</v>
      </c>
      <c r="Z102" s="15">
        <v>859.09550000000002</v>
      </c>
      <c r="AA102" s="38">
        <f t="shared" si="185"/>
        <v>7556.9233700000004</v>
      </c>
      <c r="AB102" s="191">
        <f t="shared" si="179"/>
        <v>94.204892670530725</v>
      </c>
      <c r="AC102" s="319">
        <f t="shared" si="186"/>
        <v>464.87162999999964</v>
      </c>
      <c r="AD102" s="338">
        <f>6083+756</f>
        <v>6839</v>
      </c>
      <c r="AE102" s="338"/>
      <c r="AF102" s="138">
        <f t="shared" si="187"/>
        <v>6839</v>
      </c>
      <c r="AG102" s="191">
        <f t="shared" si="180"/>
        <v>97.227750924083026</v>
      </c>
      <c r="AH102" s="146"/>
      <c r="AI102" s="544" t="s">
        <v>462</v>
      </c>
      <c r="AJ102" s="351" t="s">
        <v>311</v>
      </c>
    </row>
    <row r="103" spans="1:36" x14ac:dyDescent="0.2">
      <c r="A103" s="67"/>
      <c r="B103" s="22">
        <v>4355</v>
      </c>
      <c r="C103" s="22">
        <v>307</v>
      </c>
      <c r="D103" s="57" t="s">
        <v>210</v>
      </c>
      <c r="E103" s="28">
        <f>933+377</f>
        <v>1310</v>
      </c>
      <c r="F103" s="15"/>
      <c r="G103" s="38">
        <f>E103+F103</f>
        <v>1310</v>
      </c>
      <c r="H103" s="86">
        <f>883.607+3184.712+3582.894+1347.155+31.85</f>
        <v>9030.2180000000008</v>
      </c>
      <c r="I103" s="57"/>
      <c r="J103" s="28">
        <f t="shared" si="189"/>
        <v>10340.218000000001</v>
      </c>
      <c r="K103" s="15">
        <f t="shared" si="189"/>
        <v>0</v>
      </c>
      <c r="L103" s="38">
        <f>SUM(J103:K103)</f>
        <v>10340.218000000001</v>
      </c>
      <c r="M103" s="28">
        <v>1910.857</v>
      </c>
      <c r="N103" s="15"/>
      <c r="O103" s="38">
        <f t="shared" si="182"/>
        <v>1910.857</v>
      </c>
      <c r="P103" s="183">
        <f>O103/$L103*100</f>
        <v>18.479852165592639</v>
      </c>
      <c r="Q103" s="28">
        <v>8772.7129999999997</v>
      </c>
      <c r="R103" s="15"/>
      <c r="S103" s="38">
        <f t="shared" si="183"/>
        <v>8772.7129999999997</v>
      </c>
      <c r="T103" s="199">
        <f t="shared" si="177"/>
        <v>84.840696782214835</v>
      </c>
      <c r="U103" s="28">
        <v>8866.9629999999997</v>
      </c>
      <c r="V103" s="15"/>
      <c r="W103" s="38">
        <f t="shared" si="184"/>
        <v>8866.9629999999997</v>
      </c>
      <c r="X103" s="206">
        <f t="shared" si="178"/>
        <v>85.752186269186964</v>
      </c>
      <c r="Y103" s="28">
        <f>1310+9030.218</f>
        <v>10340.218000000001</v>
      </c>
      <c r="Z103" s="15"/>
      <c r="AA103" s="38">
        <f t="shared" si="185"/>
        <v>10340.218000000001</v>
      </c>
      <c r="AB103" s="191">
        <f t="shared" si="179"/>
        <v>100</v>
      </c>
      <c r="AC103" s="319">
        <f t="shared" si="186"/>
        <v>0</v>
      </c>
      <c r="AD103" s="332">
        <f>969+447</f>
        <v>1416</v>
      </c>
      <c r="AE103" s="338"/>
      <c r="AF103" s="138">
        <f t="shared" si="187"/>
        <v>1416</v>
      </c>
      <c r="AG103" s="191">
        <f t="shared" si="180"/>
        <v>108.09160305343511</v>
      </c>
      <c r="AH103" s="146" t="s">
        <v>301</v>
      </c>
      <c r="AI103" s="544" t="s">
        <v>183</v>
      </c>
      <c r="AJ103" s="579" t="s">
        <v>355</v>
      </c>
    </row>
    <row r="104" spans="1:36" x14ac:dyDescent="0.2">
      <c r="A104" s="75">
        <v>53</v>
      </c>
      <c r="B104" s="20">
        <v>5300</v>
      </c>
      <c r="C104" s="20"/>
      <c r="D104" s="167" t="s">
        <v>101</v>
      </c>
      <c r="E104" s="165">
        <f t="shared" ref="E104:O104" si="190">SUM(E105:E107)</f>
        <v>3300</v>
      </c>
      <c r="F104" s="40">
        <f t="shared" si="190"/>
        <v>0</v>
      </c>
      <c r="G104" s="41">
        <f t="shared" si="190"/>
        <v>3300</v>
      </c>
      <c r="H104" s="40">
        <f t="shared" si="190"/>
        <v>307.23</v>
      </c>
      <c r="I104" s="41">
        <f t="shared" si="190"/>
        <v>0</v>
      </c>
      <c r="J104" s="39">
        <f t="shared" si="190"/>
        <v>3607.23</v>
      </c>
      <c r="K104" s="40">
        <f t="shared" si="190"/>
        <v>0</v>
      </c>
      <c r="L104" s="41">
        <f t="shared" si="190"/>
        <v>3607.23</v>
      </c>
      <c r="M104" s="39">
        <f t="shared" si="190"/>
        <v>469.31833</v>
      </c>
      <c r="N104" s="40">
        <f t="shared" si="190"/>
        <v>0</v>
      </c>
      <c r="O104" s="41">
        <f t="shared" si="190"/>
        <v>469.31833</v>
      </c>
      <c r="P104" s="184">
        <f t="shared" si="163"/>
        <v>13.010490875269944</v>
      </c>
      <c r="Q104" s="39">
        <f>SUM(Q105:Q107)</f>
        <v>1017.2568</v>
      </c>
      <c r="R104" s="40">
        <f>SUM(R105:R107)</f>
        <v>0</v>
      </c>
      <c r="S104" s="41">
        <f>SUM(S105:S107)</f>
        <v>1017.2568</v>
      </c>
      <c r="T104" s="200">
        <f t="shared" si="177"/>
        <v>28.200497334519842</v>
      </c>
      <c r="U104" s="39">
        <f>SUM(U105:U107)</f>
        <v>1799.7653700000001</v>
      </c>
      <c r="V104" s="40">
        <f>SUM(V105:V107)</f>
        <v>0</v>
      </c>
      <c r="W104" s="41">
        <f>SUM(W105:W107)</f>
        <v>1799.7653700000001</v>
      </c>
      <c r="X104" s="207">
        <f t="shared" si="178"/>
        <v>49.893280162340638</v>
      </c>
      <c r="Y104" s="39">
        <f>SUM(Y105:Y107)</f>
        <v>3156.8489199999995</v>
      </c>
      <c r="Z104" s="40">
        <f>SUM(Z105:Z107)</f>
        <v>0</v>
      </c>
      <c r="AA104" s="41">
        <f>SUM(AA105:AA107)</f>
        <v>3156.8489199999995</v>
      </c>
      <c r="AB104" s="385">
        <f t="shared" si="179"/>
        <v>87.514489511342489</v>
      </c>
      <c r="AC104" s="320">
        <f>SUM(AC105:AC107)</f>
        <v>450.38108000000022</v>
      </c>
      <c r="AD104" s="336">
        <f>SUM(AD105:AD107)</f>
        <v>3987</v>
      </c>
      <c r="AE104" s="337">
        <f>SUM(AE105:AE107)</f>
        <v>0</v>
      </c>
      <c r="AF104" s="174">
        <f>SUM(AF105:AF107)</f>
        <v>3987</v>
      </c>
      <c r="AG104" s="385">
        <f t="shared" si="180"/>
        <v>120.81818181818183</v>
      </c>
      <c r="AH104" s="147"/>
      <c r="AI104" s="336"/>
      <c r="AJ104" s="578"/>
    </row>
    <row r="105" spans="1:36" x14ac:dyDescent="0.2">
      <c r="A105" s="61"/>
      <c r="B105" s="22" t="s">
        <v>346</v>
      </c>
      <c r="C105" s="24">
        <v>320</v>
      </c>
      <c r="D105" s="57" t="s">
        <v>132</v>
      </c>
      <c r="E105" s="15">
        <f>250+203</f>
        <v>453</v>
      </c>
      <c r="F105" s="15"/>
      <c r="G105" s="38">
        <f>E105+F105</f>
        <v>453</v>
      </c>
      <c r="H105" s="28"/>
      <c r="I105" s="37"/>
      <c r="J105" s="28">
        <f t="shared" ref="J105:K113" si="191">E105+H105</f>
        <v>453</v>
      </c>
      <c r="K105" s="15">
        <f t="shared" si="191"/>
        <v>0</v>
      </c>
      <c r="L105" s="38">
        <f>SUM(J105:K105)</f>
        <v>453</v>
      </c>
      <c r="M105" s="28">
        <v>70.067750000000004</v>
      </c>
      <c r="N105" s="15"/>
      <c r="O105" s="38">
        <f>M105+N105</f>
        <v>70.067750000000004</v>
      </c>
      <c r="P105" s="183">
        <f>O105/$L105*100</f>
        <v>15.467494481236205</v>
      </c>
      <c r="Q105" s="28">
        <f>35.41175+5</f>
        <v>40.411749999999998</v>
      </c>
      <c r="R105" s="15"/>
      <c r="S105" s="38">
        <f>Q105+R105</f>
        <v>40.411749999999998</v>
      </c>
      <c r="T105" s="199">
        <f t="shared" si="177"/>
        <v>8.9209161147902858</v>
      </c>
      <c r="U105" s="28">
        <f>36.31274+5</f>
        <v>41.312739999999998</v>
      </c>
      <c r="V105" s="15"/>
      <c r="W105" s="38">
        <f>U105+V105</f>
        <v>41.312739999999998</v>
      </c>
      <c r="X105" s="206">
        <f t="shared" si="178"/>
        <v>9.1198101545253856</v>
      </c>
      <c r="Y105" s="28">
        <v>129.80484000000001</v>
      </c>
      <c r="Z105" s="15"/>
      <c r="AA105" s="38">
        <f t="shared" ref="AA105:AA107" si="192">Y105+Z105</f>
        <v>129.80484000000001</v>
      </c>
      <c r="AB105" s="191">
        <f t="shared" si="179"/>
        <v>28.654490066225168</v>
      </c>
      <c r="AC105" s="319">
        <f t="shared" ref="AC105:AC107" si="193">L105-AA105</f>
        <v>323.19515999999999</v>
      </c>
      <c r="AD105" s="338">
        <f>203+205</f>
        <v>408</v>
      </c>
      <c r="AE105" s="338"/>
      <c r="AF105" s="138">
        <f>AD105+AE105</f>
        <v>408</v>
      </c>
      <c r="AG105" s="191">
        <f t="shared" si="180"/>
        <v>90.066225165562912</v>
      </c>
      <c r="AH105" s="158"/>
      <c r="AI105" s="332" t="s">
        <v>439</v>
      </c>
      <c r="AJ105" s="351" t="s">
        <v>330</v>
      </c>
    </row>
    <row r="106" spans="1:36" ht="13.5" customHeight="1" x14ac:dyDescent="0.2">
      <c r="A106" s="67"/>
      <c r="B106" s="22">
        <v>5311</v>
      </c>
      <c r="C106" s="22">
        <v>321</v>
      </c>
      <c r="D106" s="57" t="s">
        <v>80</v>
      </c>
      <c r="E106" s="28">
        <f>448+1979</f>
        <v>2427</v>
      </c>
      <c r="F106" s="15"/>
      <c r="G106" s="38">
        <f>E106+F106</f>
        <v>2427</v>
      </c>
      <c r="H106" s="310"/>
      <c r="I106" s="57"/>
      <c r="J106" s="28">
        <f t="shared" si="191"/>
        <v>2427</v>
      </c>
      <c r="K106" s="15">
        <f t="shared" si="191"/>
        <v>0</v>
      </c>
      <c r="L106" s="38">
        <f>SUM(J106:K106)</f>
        <v>2427</v>
      </c>
      <c r="M106" s="28">
        <v>287.07551000000001</v>
      </c>
      <c r="N106" s="15"/>
      <c r="O106" s="38">
        <f>M106+N106</f>
        <v>287.07551000000001</v>
      </c>
      <c r="P106" s="183">
        <f t="shared" si="163"/>
        <v>11.828409971157807</v>
      </c>
      <c r="Q106" s="28">
        <v>803.54231000000004</v>
      </c>
      <c r="R106" s="15"/>
      <c r="S106" s="38">
        <f>Q106+R106</f>
        <v>803.54231000000004</v>
      </c>
      <c r="T106" s="199">
        <f t="shared" si="177"/>
        <v>33.108459414915536</v>
      </c>
      <c r="U106" s="28">
        <v>1432.6848399999999</v>
      </c>
      <c r="V106" s="15"/>
      <c r="W106" s="38">
        <f>U106+V106</f>
        <v>1432.6848399999999</v>
      </c>
      <c r="X106" s="206">
        <f t="shared" ref="X106:X124" si="194">W106/$L106*100</f>
        <v>59.031101771734654</v>
      </c>
      <c r="Y106" s="28">
        <f>448.85715+1852</f>
        <v>2300.8571499999998</v>
      </c>
      <c r="Z106" s="15"/>
      <c r="AA106" s="38">
        <f t="shared" si="192"/>
        <v>2300.8571499999998</v>
      </c>
      <c r="AB106" s="191">
        <f t="shared" ref="AB106:AB124" si="195">AA106/$L106*100</f>
        <v>94.802519571487423</v>
      </c>
      <c r="AC106" s="319">
        <f t="shared" si="193"/>
        <v>126.14285000000018</v>
      </c>
      <c r="AD106" s="332">
        <f>370+2745</f>
        <v>3115</v>
      </c>
      <c r="AE106" s="338"/>
      <c r="AF106" s="138">
        <f>AD106+AE106</f>
        <v>3115</v>
      </c>
      <c r="AG106" s="191">
        <f t="shared" ref="AG106:AG112" si="196">AF106/$G106*100</f>
        <v>128.34775442933665</v>
      </c>
      <c r="AH106" s="146"/>
      <c r="AI106" s="591" t="s">
        <v>147</v>
      </c>
      <c r="AJ106" s="351" t="s">
        <v>441</v>
      </c>
    </row>
    <row r="107" spans="1:36" x14ac:dyDescent="0.2">
      <c r="A107" s="67"/>
      <c r="B107" s="22">
        <v>5512</v>
      </c>
      <c r="C107" s="22">
        <v>223</v>
      </c>
      <c r="D107" s="57" t="s">
        <v>176</v>
      </c>
      <c r="E107" s="28">
        <f>352+18+50</f>
        <v>420</v>
      </c>
      <c r="F107" s="15"/>
      <c r="G107" s="38">
        <f>E107+F107</f>
        <v>420</v>
      </c>
      <c r="H107" s="310">
        <f>150+47.9+47.73+61.6</f>
        <v>307.23</v>
      </c>
      <c r="I107" s="57"/>
      <c r="J107" s="28">
        <f t="shared" si="191"/>
        <v>727.23</v>
      </c>
      <c r="K107" s="15">
        <f t="shared" si="191"/>
        <v>0</v>
      </c>
      <c r="L107" s="38">
        <f>SUM(J107:K107)</f>
        <v>727.23</v>
      </c>
      <c r="M107" s="28">
        <v>112.17507000000001</v>
      </c>
      <c r="N107" s="15"/>
      <c r="O107" s="38">
        <f>M107+N107</f>
        <v>112.17507000000001</v>
      </c>
      <c r="P107" s="183">
        <f t="shared" si="163"/>
        <v>15.424978342477621</v>
      </c>
      <c r="Q107" s="28">
        <v>173.30274</v>
      </c>
      <c r="R107" s="15"/>
      <c r="S107" s="38">
        <f>Q107+R107</f>
        <v>173.30274</v>
      </c>
      <c r="T107" s="199">
        <f t="shared" si="177"/>
        <v>23.830526793449113</v>
      </c>
      <c r="U107" s="28">
        <v>325.76778999999999</v>
      </c>
      <c r="V107" s="15"/>
      <c r="W107" s="38">
        <f>U107+V107</f>
        <v>325.76778999999999</v>
      </c>
      <c r="X107" s="206">
        <f t="shared" si="194"/>
        <v>44.795702872543757</v>
      </c>
      <c r="Y107" s="28">
        <v>726.18692999999996</v>
      </c>
      <c r="Z107" s="15"/>
      <c r="AA107" s="38">
        <f t="shared" si="192"/>
        <v>726.18692999999996</v>
      </c>
      <c r="AB107" s="191">
        <f t="shared" si="195"/>
        <v>99.85656944845509</v>
      </c>
      <c r="AC107" s="319">
        <f t="shared" si="193"/>
        <v>1.043070000000057</v>
      </c>
      <c r="AD107" s="338">
        <f>414+50</f>
        <v>464</v>
      </c>
      <c r="AE107" s="338"/>
      <c r="AF107" s="138">
        <f>AD107+AE107</f>
        <v>464</v>
      </c>
      <c r="AG107" s="191">
        <f t="shared" si="196"/>
        <v>110.47619047619048</v>
      </c>
      <c r="AH107" s="146"/>
      <c r="AI107" s="592" t="s">
        <v>149</v>
      </c>
      <c r="AJ107" s="579" t="s">
        <v>330</v>
      </c>
    </row>
    <row r="108" spans="1:36" x14ac:dyDescent="0.2">
      <c r="A108" s="75">
        <v>61</v>
      </c>
      <c r="B108" s="20">
        <v>6100</v>
      </c>
      <c r="C108" s="20"/>
      <c r="D108" s="167" t="s">
        <v>81</v>
      </c>
      <c r="E108" s="165">
        <f t="shared" ref="E108:O108" si="197">SUM(E109:E113)</f>
        <v>63814</v>
      </c>
      <c r="F108" s="40">
        <f t="shared" si="197"/>
        <v>645</v>
      </c>
      <c r="G108" s="41">
        <f t="shared" si="197"/>
        <v>64459</v>
      </c>
      <c r="H108" s="39">
        <f t="shared" si="197"/>
        <v>11.34099999999998</v>
      </c>
      <c r="I108" s="41">
        <f t="shared" si="197"/>
        <v>381</v>
      </c>
      <c r="J108" s="39">
        <f t="shared" si="197"/>
        <v>63825.341</v>
      </c>
      <c r="K108" s="40">
        <f t="shared" si="197"/>
        <v>1026</v>
      </c>
      <c r="L108" s="41">
        <f>SUM(L109:L113)</f>
        <v>64851.341</v>
      </c>
      <c r="M108" s="39">
        <f t="shared" si="197"/>
        <v>14220.418490000002</v>
      </c>
      <c r="N108" s="40">
        <f t="shared" si="197"/>
        <v>472.23</v>
      </c>
      <c r="O108" s="41">
        <f t="shared" si="197"/>
        <v>14692.648490000001</v>
      </c>
      <c r="P108" s="184">
        <f t="shared" si="163"/>
        <v>22.655890014672174</v>
      </c>
      <c r="Q108" s="39">
        <f>SUM(Q109:Q113)</f>
        <v>29702.852319999998</v>
      </c>
      <c r="R108" s="40">
        <f>SUM(R109:R113)</f>
        <v>1025.6472200000001</v>
      </c>
      <c r="S108" s="41">
        <f>SUM(S109:S113)</f>
        <v>30728.499539999997</v>
      </c>
      <c r="T108" s="200">
        <f t="shared" ref="T108:T124" si="198">S108/$L108*100</f>
        <v>47.382982473716304</v>
      </c>
      <c r="U108" s="39">
        <f>SUM(U109:U113)</f>
        <v>44289.574049999988</v>
      </c>
      <c r="V108" s="40">
        <f>SUM(V109:V113)</f>
        <v>1025.6472200000001</v>
      </c>
      <c r="W108" s="41">
        <f>SUM(W109:W113)</f>
        <v>45315.221269999987</v>
      </c>
      <c r="X108" s="207">
        <f t="shared" si="194"/>
        <v>69.875534678612098</v>
      </c>
      <c r="Y108" s="39">
        <f>SUM(Y109:Y113)</f>
        <v>62941.614609999997</v>
      </c>
      <c r="Z108" s="40">
        <f>SUM(Z109:Z113)</f>
        <v>1025.6472200000001</v>
      </c>
      <c r="AA108" s="41">
        <f>SUM(AA109:AA113)</f>
        <v>63967.261829999996</v>
      </c>
      <c r="AB108" s="385">
        <f t="shared" si="195"/>
        <v>98.636760387113654</v>
      </c>
      <c r="AC108" s="320">
        <f>SUM(AC109:AC113)</f>
        <v>884.07916999999452</v>
      </c>
      <c r="AD108" s="336">
        <f>SUM(AD109:AD113)</f>
        <v>69328</v>
      </c>
      <c r="AE108" s="337">
        <f>SUM(AE109:AE113)</f>
        <v>320</v>
      </c>
      <c r="AF108" s="174">
        <f>SUM(AF109:AF113)</f>
        <v>69648</v>
      </c>
      <c r="AG108" s="385">
        <f t="shared" si="196"/>
        <v>108.05007834437394</v>
      </c>
      <c r="AH108" s="147"/>
      <c r="AI108" s="581"/>
      <c r="AJ108" s="578"/>
    </row>
    <row r="109" spans="1:36" x14ac:dyDescent="0.2">
      <c r="A109" s="67"/>
      <c r="B109" s="22">
        <v>6112</v>
      </c>
      <c r="C109" s="22">
        <v>314</v>
      </c>
      <c r="D109" s="57" t="s">
        <v>82</v>
      </c>
      <c r="E109" s="28">
        <f>3233+60</f>
        <v>3293</v>
      </c>
      <c r="F109" s="15"/>
      <c r="G109" s="38">
        <f>E109+F109</f>
        <v>3293</v>
      </c>
      <c r="H109" s="310">
        <v>170</v>
      </c>
      <c r="I109" s="57"/>
      <c r="J109" s="28">
        <f t="shared" si="191"/>
        <v>3463</v>
      </c>
      <c r="K109" s="15">
        <f t="shared" si="191"/>
        <v>0</v>
      </c>
      <c r="L109" s="38">
        <f>SUM(J109:K109)</f>
        <v>3463</v>
      </c>
      <c r="M109" s="28">
        <v>785.21799999999996</v>
      </c>
      <c r="N109" s="15"/>
      <c r="O109" s="38">
        <f>M109+N109</f>
        <v>785.21799999999996</v>
      </c>
      <c r="P109" s="183">
        <f t="shared" si="163"/>
        <v>22.674501876985271</v>
      </c>
      <c r="Q109" s="28">
        <v>1567.433</v>
      </c>
      <c r="R109" s="15"/>
      <c r="S109" s="38">
        <f>Q109+R109</f>
        <v>1567.433</v>
      </c>
      <c r="T109" s="199">
        <f t="shared" si="198"/>
        <v>45.262287034363268</v>
      </c>
      <c r="U109" s="28">
        <v>2361.643</v>
      </c>
      <c r="V109" s="15"/>
      <c r="W109" s="38">
        <f>U109+V109</f>
        <v>2361.643</v>
      </c>
      <c r="X109" s="206">
        <f t="shared" si="194"/>
        <v>68.196448166329773</v>
      </c>
      <c r="Y109" s="28">
        <v>3406.018</v>
      </c>
      <c r="Z109" s="15"/>
      <c r="AA109" s="38">
        <f t="shared" ref="AA109:AA113" si="199">Y109+Z109</f>
        <v>3406.018</v>
      </c>
      <c r="AB109" s="191">
        <f t="shared" si="195"/>
        <v>98.354548079699683</v>
      </c>
      <c r="AC109" s="319">
        <f t="shared" ref="AC109:AC113" si="200">L109-AA109</f>
        <v>56.981999999999971</v>
      </c>
      <c r="AD109" s="332">
        <v>3555</v>
      </c>
      <c r="AE109" s="338"/>
      <c r="AF109" s="138">
        <f>AD109+AE109</f>
        <v>3555</v>
      </c>
      <c r="AG109" s="191">
        <f t="shared" si="196"/>
        <v>107.95627087761919</v>
      </c>
      <c r="AH109" s="146"/>
      <c r="AI109" s="332" t="s">
        <v>441</v>
      </c>
      <c r="AJ109" s="351" t="s">
        <v>330</v>
      </c>
    </row>
    <row r="110" spans="1:36" x14ac:dyDescent="0.2">
      <c r="A110" s="67"/>
      <c r="B110" s="22">
        <v>6114</v>
      </c>
      <c r="C110" s="22">
        <v>115.11799999999999</v>
      </c>
      <c r="D110" s="57" t="s">
        <v>548</v>
      </c>
      <c r="E110" s="28"/>
      <c r="F110" s="15"/>
      <c r="G110" s="38"/>
      <c r="H110" s="310">
        <f>180+62</f>
        <v>242</v>
      </c>
      <c r="I110" s="57"/>
      <c r="J110" s="28">
        <f t="shared" si="191"/>
        <v>242</v>
      </c>
      <c r="K110" s="15">
        <f t="shared" si="191"/>
        <v>0</v>
      </c>
      <c r="L110" s="38">
        <f>SUM(J110:K110)</f>
        <v>242</v>
      </c>
      <c r="M110" s="28">
        <v>0</v>
      </c>
      <c r="N110" s="15"/>
      <c r="O110" s="38">
        <f>M110+N110</f>
        <v>0</v>
      </c>
      <c r="P110" s="183"/>
      <c r="Q110" s="28"/>
      <c r="R110" s="15"/>
      <c r="S110" s="38"/>
      <c r="T110" s="199"/>
      <c r="U110" s="28"/>
      <c r="V110" s="15"/>
      <c r="W110" s="38">
        <f t="shared" ref="W110" si="201">U110+V110</f>
        <v>0</v>
      </c>
      <c r="X110" s="206">
        <f t="shared" ref="X110" si="202">W110/$L110*100</f>
        <v>0</v>
      </c>
      <c r="Y110" s="28">
        <v>180</v>
      </c>
      <c r="Z110" s="15"/>
      <c r="AA110" s="38">
        <f t="shared" si="199"/>
        <v>180</v>
      </c>
      <c r="AB110" s="191">
        <f t="shared" si="195"/>
        <v>74.380165289256198</v>
      </c>
      <c r="AC110" s="319">
        <f t="shared" si="200"/>
        <v>62</v>
      </c>
      <c r="AD110" s="332">
        <v>208</v>
      </c>
      <c r="AE110" s="338"/>
      <c r="AF110" s="138">
        <f t="shared" ref="AF110" si="203">AD110+AE110</f>
        <v>208</v>
      </c>
      <c r="AG110" s="191"/>
      <c r="AH110" s="146"/>
      <c r="AI110" s="332"/>
      <c r="AJ110" s="351"/>
    </row>
    <row r="111" spans="1:36" x14ac:dyDescent="0.2">
      <c r="A111" s="67"/>
      <c r="B111" s="22">
        <v>6171</v>
      </c>
      <c r="C111" s="220" t="s">
        <v>453</v>
      </c>
      <c r="D111" s="57" t="s">
        <v>94</v>
      </c>
      <c r="E111" s="28">
        <v>59217</v>
      </c>
      <c r="F111" s="15">
        <v>645</v>
      </c>
      <c r="G111" s="38">
        <v>59862</v>
      </c>
      <c r="H111" s="28">
        <v>-250.65900000000002</v>
      </c>
      <c r="I111" s="38">
        <v>381</v>
      </c>
      <c r="J111" s="28">
        <v>58966.341</v>
      </c>
      <c r="K111" s="15">
        <v>1026</v>
      </c>
      <c r="L111" s="38">
        <v>59992.341</v>
      </c>
      <c r="M111" s="28">
        <v>13310.18462</v>
      </c>
      <c r="N111" s="15">
        <v>472.23</v>
      </c>
      <c r="O111" s="38">
        <v>13782.41462</v>
      </c>
      <c r="P111" s="183">
        <v>22.973623616387965</v>
      </c>
      <c r="Q111" s="28">
        <v>27866.113069999999</v>
      </c>
      <c r="R111" s="15">
        <v>1025.6472200000001</v>
      </c>
      <c r="S111" s="38">
        <v>28891.760289999998</v>
      </c>
      <c r="T111" s="199">
        <v>48.159081323397594</v>
      </c>
      <c r="U111" s="28">
        <v>41450.21123999999</v>
      </c>
      <c r="V111" s="15">
        <v>1025.6472200000001</v>
      </c>
      <c r="W111" s="38">
        <v>42475.858459999989</v>
      </c>
      <c r="X111" s="206">
        <v>70.80213532590767</v>
      </c>
      <c r="Y111" s="28">
        <v>58377.271040000007</v>
      </c>
      <c r="Z111" s="15">
        <v>1025.6472200000001</v>
      </c>
      <c r="AA111" s="38">
        <v>59402.918260000006</v>
      </c>
      <c r="AB111" s="191">
        <v>99.01750335096942</v>
      </c>
      <c r="AC111" s="319">
        <v>589.42273999999452</v>
      </c>
      <c r="AD111" s="332">
        <v>64786</v>
      </c>
      <c r="AE111" s="338">
        <v>320</v>
      </c>
      <c r="AF111" s="138">
        <v>65106</v>
      </c>
      <c r="AG111" s="191">
        <v>108.76014834118473</v>
      </c>
      <c r="AH111" s="146" t="s">
        <v>580</v>
      </c>
      <c r="AI111" s="332" t="s">
        <v>577</v>
      </c>
      <c r="AJ111" s="578"/>
    </row>
    <row r="112" spans="1:36" x14ac:dyDescent="0.2">
      <c r="A112" s="67"/>
      <c r="B112" s="22">
        <v>6171</v>
      </c>
      <c r="C112" s="22">
        <v>15479</v>
      </c>
      <c r="D112" s="57" t="s">
        <v>292</v>
      </c>
      <c r="E112" s="28">
        <v>662</v>
      </c>
      <c r="F112" s="15"/>
      <c r="G112" s="38">
        <f t="shared" ref="G112" si="204">E112+F112</f>
        <v>662</v>
      </c>
      <c r="H112" s="28"/>
      <c r="I112" s="38"/>
      <c r="J112" s="28">
        <f t="shared" si="191"/>
        <v>662</v>
      </c>
      <c r="K112" s="15">
        <f t="shared" si="191"/>
        <v>0</v>
      </c>
      <c r="L112" s="38">
        <f>SUM(J112:K112)</f>
        <v>662</v>
      </c>
      <c r="M112" s="28">
        <v>85.057000000000002</v>
      </c>
      <c r="N112" s="15"/>
      <c r="O112" s="38">
        <f t="shared" ref="O112" si="205">M112+N112</f>
        <v>85.057000000000002</v>
      </c>
      <c r="P112" s="183">
        <f>O112/$L112*100</f>
        <v>12.848489425981874</v>
      </c>
      <c r="Q112" s="28">
        <v>203.55</v>
      </c>
      <c r="R112" s="15"/>
      <c r="S112" s="38">
        <f t="shared" ref="S112" si="206">Q112+R112</f>
        <v>203.55</v>
      </c>
      <c r="T112" s="199">
        <f t="shared" si="198"/>
        <v>30.74773413897281</v>
      </c>
      <c r="U112" s="28">
        <v>336.20800000000003</v>
      </c>
      <c r="V112" s="15"/>
      <c r="W112" s="38">
        <f t="shared" ref="W112" si="207">U112+V112</f>
        <v>336.20800000000003</v>
      </c>
      <c r="X112" s="206">
        <f t="shared" si="194"/>
        <v>50.786706948640493</v>
      </c>
      <c r="Y112" s="15">
        <f>415.722+119.56657</f>
        <v>535.28856999999994</v>
      </c>
      <c r="Z112" s="15"/>
      <c r="AA112" s="38">
        <f t="shared" si="199"/>
        <v>535.28856999999994</v>
      </c>
      <c r="AB112" s="191">
        <f>AA112/$L112*100</f>
        <v>80.859300604229603</v>
      </c>
      <c r="AC112" s="319">
        <f t="shared" si="200"/>
        <v>126.71143000000006</v>
      </c>
      <c r="AD112" s="332">
        <v>0</v>
      </c>
      <c r="AE112" s="338"/>
      <c r="AF112" s="138">
        <f t="shared" ref="AF112" si="208">AD112+AE112</f>
        <v>0</v>
      </c>
      <c r="AG112" s="191">
        <f t="shared" si="196"/>
        <v>0</v>
      </c>
      <c r="AH112" s="150" t="s">
        <v>429</v>
      </c>
      <c r="AI112" s="544" t="s">
        <v>238</v>
      </c>
      <c r="AJ112" s="351" t="s">
        <v>248</v>
      </c>
    </row>
    <row r="113" spans="1:36" x14ac:dyDescent="0.2">
      <c r="A113" s="67"/>
      <c r="B113" s="22">
        <v>6171</v>
      </c>
      <c r="C113" s="22">
        <v>318</v>
      </c>
      <c r="D113" s="57" t="s">
        <v>206</v>
      </c>
      <c r="E113" s="15">
        <f>412+230</f>
        <v>642</v>
      </c>
      <c r="F113" s="15"/>
      <c r="G113" s="38">
        <f>E113+F113</f>
        <v>642</v>
      </c>
      <c r="H113" s="28">
        <v>-150</v>
      </c>
      <c r="I113" s="38"/>
      <c r="J113" s="28">
        <f t="shared" si="191"/>
        <v>492</v>
      </c>
      <c r="K113" s="15">
        <f t="shared" si="191"/>
        <v>0</v>
      </c>
      <c r="L113" s="38">
        <f>SUM(J113:K113)</f>
        <v>492</v>
      </c>
      <c r="M113" s="28">
        <v>39.958869999999997</v>
      </c>
      <c r="N113" s="15"/>
      <c r="O113" s="38">
        <f>M113+N113</f>
        <v>39.958869999999997</v>
      </c>
      <c r="P113" s="183">
        <f t="shared" si="163"/>
        <v>8.1217215447154469</v>
      </c>
      <c r="Q113" s="28">
        <v>65.756249999999994</v>
      </c>
      <c r="R113" s="15"/>
      <c r="S113" s="38">
        <f>Q113+R113</f>
        <v>65.756249999999994</v>
      </c>
      <c r="T113" s="199">
        <f t="shared" si="198"/>
        <v>13.365091463414632</v>
      </c>
      <c r="U113" s="28">
        <v>141.51181</v>
      </c>
      <c r="V113" s="15"/>
      <c r="W113" s="38">
        <f>U113+V113</f>
        <v>141.51181</v>
      </c>
      <c r="X113" s="206">
        <f t="shared" si="194"/>
        <v>28.762563008130083</v>
      </c>
      <c r="Y113" s="28">
        <v>443.03699999999998</v>
      </c>
      <c r="Z113" s="15"/>
      <c r="AA113" s="38">
        <f t="shared" si="199"/>
        <v>443.03699999999998</v>
      </c>
      <c r="AB113" s="191">
        <f t="shared" si="195"/>
        <v>90.048170731707316</v>
      </c>
      <c r="AC113" s="319">
        <f t="shared" si="200"/>
        <v>48.963000000000022</v>
      </c>
      <c r="AD113" s="338">
        <f>642+137</f>
        <v>779</v>
      </c>
      <c r="AE113" s="338"/>
      <c r="AF113" s="138">
        <f>AD113+AE113</f>
        <v>779</v>
      </c>
      <c r="AG113" s="191">
        <f t="shared" ref="AG113:AG124" si="209">AF113/$G113*100</f>
        <v>121.33956386292834</v>
      </c>
      <c r="AH113" s="146"/>
      <c r="AI113" s="340" t="s">
        <v>148</v>
      </c>
      <c r="AJ113" s="579" t="s">
        <v>113</v>
      </c>
    </row>
    <row r="114" spans="1:36" x14ac:dyDescent="0.2">
      <c r="A114" s="75" t="s">
        <v>403</v>
      </c>
      <c r="B114" s="20">
        <v>6300</v>
      </c>
      <c r="C114" s="20"/>
      <c r="D114" s="167" t="s">
        <v>83</v>
      </c>
      <c r="E114" s="165">
        <f>SUM(E115:E123)</f>
        <v>12273</v>
      </c>
      <c r="F114" s="40">
        <f t="shared" ref="F114" si="210">SUM(F116:F123)</f>
        <v>0</v>
      </c>
      <c r="G114" s="41">
        <f t="shared" ref="G114:O114" si="211">SUM(G115:G123)</f>
        <v>12273</v>
      </c>
      <c r="H114" s="39">
        <f>SUM(H115:H123)</f>
        <v>80.61128999999994</v>
      </c>
      <c r="I114" s="41">
        <f t="shared" si="211"/>
        <v>0</v>
      </c>
      <c r="J114" s="39">
        <f t="shared" si="211"/>
        <v>12353.611290000001</v>
      </c>
      <c r="K114" s="40">
        <f t="shared" si="211"/>
        <v>0</v>
      </c>
      <c r="L114" s="41">
        <f t="shared" si="211"/>
        <v>12353.611290000001</v>
      </c>
      <c r="M114" s="39">
        <f t="shared" si="211"/>
        <v>8948.9980699999996</v>
      </c>
      <c r="N114" s="40">
        <f t="shared" si="211"/>
        <v>0</v>
      </c>
      <c r="O114" s="41">
        <f t="shared" si="211"/>
        <v>8948.9980699999996</v>
      </c>
      <c r="P114" s="184">
        <f t="shared" si="163"/>
        <v>72.440340398633339</v>
      </c>
      <c r="Q114" s="39">
        <f>SUM(Q115:Q123)</f>
        <v>10526.848389999999</v>
      </c>
      <c r="R114" s="40">
        <f t="shared" ref="R114" si="212">SUM(R116:R123)</f>
        <v>0</v>
      </c>
      <c r="S114" s="41">
        <f>SUM(S115:S123)</f>
        <v>10526.848389999999</v>
      </c>
      <c r="T114" s="200">
        <f t="shared" si="198"/>
        <v>85.212721550671347</v>
      </c>
      <c r="U114" s="39">
        <f>SUM(U115:U123)</f>
        <v>11092.342120000001</v>
      </c>
      <c r="V114" s="40">
        <f t="shared" ref="V114" si="213">SUM(V116:V123)</f>
        <v>0</v>
      </c>
      <c r="W114" s="41">
        <f>SUM(W115:W123)</f>
        <v>11092.342120000001</v>
      </c>
      <c r="X114" s="207">
        <f t="shared" si="194"/>
        <v>89.790279616285389</v>
      </c>
      <c r="Y114" s="39">
        <f>SUM(Y115:Y123)</f>
        <v>11081.063529999999</v>
      </c>
      <c r="Z114" s="40">
        <f>SUM(Z115:Z123)</f>
        <v>0</v>
      </c>
      <c r="AA114" s="41">
        <f>SUM(AA115:AA123)</f>
        <v>11081.063529999999</v>
      </c>
      <c r="AB114" s="385">
        <f t="shared" si="195"/>
        <v>89.698981697521091</v>
      </c>
      <c r="AC114" s="320">
        <f>SUM(AC115:AC123)</f>
        <v>1272.5477599999997</v>
      </c>
      <c r="AD114" s="336">
        <f>SUM(AD115:AD123)</f>
        <v>9185</v>
      </c>
      <c r="AE114" s="337">
        <f>SUM(AE115:AE123)</f>
        <v>0</v>
      </c>
      <c r="AF114" s="174">
        <f>SUM(AF115:AF123)</f>
        <v>9185</v>
      </c>
      <c r="AG114" s="385">
        <f t="shared" si="209"/>
        <v>74.839077650126299</v>
      </c>
      <c r="AH114" s="147"/>
      <c r="AI114" s="581"/>
      <c r="AJ114" s="578"/>
    </row>
    <row r="115" spans="1:36" customFormat="1" x14ac:dyDescent="0.2">
      <c r="A115" s="189"/>
      <c r="B115" s="24">
        <v>6221</v>
      </c>
      <c r="C115" s="24">
        <v>323.7</v>
      </c>
      <c r="D115" s="122" t="s">
        <v>404</v>
      </c>
      <c r="E115" s="49"/>
      <c r="F115" s="190"/>
      <c r="G115" s="191"/>
      <c r="H115" s="86">
        <f>37.2+45</f>
        <v>82.2</v>
      </c>
      <c r="I115" s="191"/>
      <c r="J115" s="28">
        <f t="shared" ref="J115:J123" si="214">E115+H115</f>
        <v>82.2</v>
      </c>
      <c r="K115" s="15"/>
      <c r="L115" s="38">
        <f t="shared" ref="L115:L123" si="215">SUM(J115:K115)</f>
        <v>82.2</v>
      </c>
      <c r="M115" s="86">
        <v>7.6571800000000003</v>
      </c>
      <c r="N115" s="190"/>
      <c r="O115" s="38">
        <f t="shared" ref="O115:O121" si="216">M115+N115</f>
        <v>7.6571800000000003</v>
      </c>
      <c r="P115" s="183"/>
      <c r="Q115" s="86">
        <v>260.87729999999999</v>
      </c>
      <c r="R115" s="190"/>
      <c r="S115" s="38">
        <f t="shared" ref="S115:S122" si="217">Q115+R115</f>
        <v>260.87729999999999</v>
      </c>
      <c r="T115" s="199"/>
      <c r="U115" s="86">
        <f>260.8773+37.2</f>
        <v>298.07729999999998</v>
      </c>
      <c r="V115" s="15"/>
      <c r="W115" s="38">
        <f t="shared" ref="W115" si="218">U115+V115</f>
        <v>298.07729999999998</v>
      </c>
      <c r="X115" s="206"/>
      <c r="Y115" s="28">
        <v>86.46</v>
      </c>
      <c r="Z115" s="15"/>
      <c r="AA115" s="38">
        <f t="shared" ref="AA115:AA123" si="219">Y115+Z115</f>
        <v>86.46</v>
      </c>
      <c r="AB115" s="191">
        <f t="shared" ref="AB115" si="220">AA115/$L115*100</f>
        <v>105.18248175182481</v>
      </c>
      <c r="AC115" s="319">
        <f t="shared" ref="AC115:AC123" si="221">L115-AA115</f>
        <v>-4.2599999999999909</v>
      </c>
      <c r="AD115" s="346"/>
      <c r="AE115" s="347"/>
      <c r="AF115" s="192"/>
      <c r="AG115" s="191"/>
      <c r="AH115" s="146"/>
      <c r="AI115" s="346"/>
      <c r="AJ115" s="585"/>
    </row>
    <row r="116" spans="1:36" x14ac:dyDescent="0.2">
      <c r="A116" s="67"/>
      <c r="B116" s="22">
        <v>6320</v>
      </c>
      <c r="C116" s="22">
        <v>314</v>
      </c>
      <c r="D116" s="57" t="s">
        <v>177</v>
      </c>
      <c r="E116" s="28">
        <v>160</v>
      </c>
      <c r="F116" s="15"/>
      <c r="G116" s="38">
        <f t="shared" ref="G116:G123" si="222">E116+F116</f>
        <v>160</v>
      </c>
      <c r="H116" s="28"/>
      <c r="I116" s="57"/>
      <c r="J116" s="28">
        <f t="shared" si="214"/>
        <v>160</v>
      </c>
      <c r="K116" s="15"/>
      <c r="L116" s="38">
        <f t="shared" si="215"/>
        <v>160</v>
      </c>
      <c r="M116" s="28">
        <v>136.81</v>
      </c>
      <c r="N116" s="15"/>
      <c r="O116" s="38">
        <f t="shared" si="216"/>
        <v>136.81</v>
      </c>
      <c r="P116" s="183">
        <f t="shared" si="163"/>
        <v>85.506250000000009</v>
      </c>
      <c r="Q116" s="28">
        <v>136.81</v>
      </c>
      <c r="R116" s="15"/>
      <c r="S116" s="38">
        <f t="shared" si="217"/>
        <v>136.81</v>
      </c>
      <c r="T116" s="199">
        <f t="shared" si="198"/>
        <v>85.506250000000009</v>
      </c>
      <c r="U116" s="28">
        <v>137.095</v>
      </c>
      <c r="V116" s="15"/>
      <c r="W116" s="38">
        <f t="shared" ref="W116:W121" si="223">U116+V116</f>
        <v>137.095</v>
      </c>
      <c r="X116" s="206">
        <f t="shared" si="194"/>
        <v>85.684375000000003</v>
      </c>
      <c r="Y116" s="28">
        <v>143.363</v>
      </c>
      <c r="Z116" s="15"/>
      <c r="AA116" s="38">
        <f t="shared" si="219"/>
        <v>143.363</v>
      </c>
      <c r="AB116" s="191">
        <f t="shared" si="195"/>
        <v>89.601874999999993</v>
      </c>
      <c r="AC116" s="319">
        <f t="shared" si="221"/>
        <v>16.637</v>
      </c>
      <c r="AD116" s="332">
        <v>180</v>
      </c>
      <c r="AE116" s="338"/>
      <c r="AF116" s="138">
        <f t="shared" ref="AF116:AF122" si="224">AD116+AE116</f>
        <v>180</v>
      </c>
      <c r="AG116" s="191">
        <f t="shared" si="209"/>
        <v>112.5</v>
      </c>
      <c r="AH116" s="146"/>
      <c r="AI116" s="332" t="s">
        <v>340</v>
      </c>
      <c r="AJ116" s="351" t="s">
        <v>68</v>
      </c>
    </row>
    <row r="117" spans="1:36" x14ac:dyDescent="0.2">
      <c r="A117" s="67"/>
      <c r="B117" s="22">
        <v>6399</v>
      </c>
      <c r="C117" s="22">
        <v>314</v>
      </c>
      <c r="D117" s="57" t="s">
        <v>207</v>
      </c>
      <c r="E117" s="28">
        <v>70</v>
      </c>
      <c r="F117" s="15"/>
      <c r="G117" s="38">
        <f t="shared" si="222"/>
        <v>70</v>
      </c>
      <c r="H117" s="28"/>
      <c r="I117" s="57"/>
      <c r="J117" s="28">
        <f t="shared" si="214"/>
        <v>70</v>
      </c>
      <c r="K117" s="15"/>
      <c r="L117" s="38">
        <f t="shared" si="215"/>
        <v>70</v>
      </c>
      <c r="M117" s="28"/>
      <c r="N117" s="15"/>
      <c r="O117" s="38">
        <f t="shared" si="216"/>
        <v>0</v>
      </c>
      <c r="P117" s="183">
        <f t="shared" si="163"/>
        <v>0</v>
      </c>
      <c r="Q117" s="28">
        <v>61.603999999999999</v>
      </c>
      <c r="R117" s="15"/>
      <c r="S117" s="38">
        <f t="shared" si="217"/>
        <v>61.603999999999999</v>
      </c>
      <c r="T117" s="199">
        <f t="shared" si="198"/>
        <v>88.005714285714291</v>
      </c>
      <c r="U117" s="28">
        <v>61.603999999999999</v>
      </c>
      <c r="V117" s="15"/>
      <c r="W117" s="38">
        <f t="shared" si="223"/>
        <v>61.603999999999999</v>
      </c>
      <c r="X117" s="206">
        <f t="shared" si="194"/>
        <v>88.005714285714291</v>
      </c>
      <c r="Y117" s="28">
        <v>78.849000000000004</v>
      </c>
      <c r="Z117" s="15"/>
      <c r="AA117" s="38">
        <f t="shared" si="219"/>
        <v>78.849000000000004</v>
      </c>
      <c r="AB117" s="191">
        <f t="shared" si="195"/>
        <v>112.64142857142858</v>
      </c>
      <c r="AC117" s="319">
        <f t="shared" si="221"/>
        <v>-8.8490000000000038</v>
      </c>
      <c r="AD117" s="332">
        <v>70</v>
      </c>
      <c r="AE117" s="338"/>
      <c r="AF117" s="138">
        <f t="shared" si="224"/>
        <v>70</v>
      </c>
      <c r="AG117" s="191">
        <f t="shared" si="209"/>
        <v>100</v>
      </c>
      <c r="AH117" s="146"/>
      <c r="AI117" s="332" t="s">
        <v>355</v>
      </c>
      <c r="AJ117" s="351" t="s">
        <v>330</v>
      </c>
    </row>
    <row r="118" spans="1:36" x14ac:dyDescent="0.2">
      <c r="A118" s="67"/>
      <c r="B118" s="22">
        <v>6399</v>
      </c>
      <c r="C118" s="22">
        <v>315</v>
      </c>
      <c r="D118" s="57" t="s">
        <v>84</v>
      </c>
      <c r="E118" s="28">
        <v>7680</v>
      </c>
      <c r="F118" s="15"/>
      <c r="G118" s="38">
        <f t="shared" si="222"/>
        <v>7680</v>
      </c>
      <c r="H118" s="28">
        <v>196</v>
      </c>
      <c r="I118" s="57"/>
      <c r="J118" s="28">
        <f t="shared" si="214"/>
        <v>7876</v>
      </c>
      <c r="K118" s="15"/>
      <c r="L118" s="38">
        <f t="shared" si="215"/>
        <v>7876</v>
      </c>
      <c r="M118" s="28">
        <v>7875.88</v>
      </c>
      <c r="N118" s="15"/>
      <c r="O118" s="38">
        <f t="shared" si="216"/>
        <v>7875.88</v>
      </c>
      <c r="P118" s="183">
        <f t="shared" si="163"/>
        <v>99.998476383951242</v>
      </c>
      <c r="Q118" s="28">
        <v>7875.88</v>
      </c>
      <c r="R118" s="15"/>
      <c r="S118" s="38">
        <f t="shared" si="217"/>
        <v>7875.88</v>
      </c>
      <c r="T118" s="199">
        <f t="shared" si="198"/>
        <v>99.998476383951242</v>
      </c>
      <c r="U118" s="28">
        <v>7875.88</v>
      </c>
      <c r="V118" s="15"/>
      <c r="W118" s="38">
        <f t="shared" si="223"/>
        <v>7875.88</v>
      </c>
      <c r="X118" s="206">
        <f t="shared" si="194"/>
        <v>99.998476383951242</v>
      </c>
      <c r="Y118" s="28">
        <v>7875.88</v>
      </c>
      <c r="Z118" s="15"/>
      <c r="AA118" s="38">
        <f t="shared" si="219"/>
        <v>7875.88</v>
      </c>
      <c r="AB118" s="191">
        <f t="shared" si="195"/>
        <v>99.998476383951242</v>
      </c>
      <c r="AC118" s="319">
        <f t="shared" si="221"/>
        <v>0.11999999999989086</v>
      </c>
      <c r="AD118" s="332">
        <v>4105</v>
      </c>
      <c r="AE118" s="338"/>
      <c r="AF118" s="138">
        <f t="shared" si="224"/>
        <v>4105</v>
      </c>
      <c r="AG118" s="191">
        <f t="shared" si="209"/>
        <v>53.450520833333336</v>
      </c>
      <c r="AH118" s="146" t="s">
        <v>178</v>
      </c>
      <c r="AI118" s="544" t="s">
        <v>183</v>
      </c>
      <c r="AJ118" s="351" t="s">
        <v>355</v>
      </c>
    </row>
    <row r="119" spans="1:36" x14ac:dyDescent="0.2">
      <c r="A119" s="67"/>
      <c r="B119" s="22">
        <v>6399</v>
      </c>
      <c r="C119" s="22">
        <v>665</v>
      </c>
      <c r="D119" s="57" t="s">
        <v>211</v>
      </c>
      <c r="E119" s="28">
        <v>750</v>
      </c>
      <c r="F119" s="15"/>
      <c r="G119" s="38">
        <f t="shared" si="222"/>
        <v>750</v>
      </c>
      <c r="H119" s="28">
        <f>450+250</f>
        <v>700</v>
      </c>
      <c r="I119" s="57"/>
      <c r="J119" s="28">
        <f t="shared" si="214"/>
        <v>1450</v>
      </c>
      <c r="K119" s="15"/>
      <c r="L119" s="38">
        <f t="shared" si="215"/>
        <v>1450</v>
      </c>
      <c r="M119" s="28">
        <v>392.53278</v>
      </c>
      <c r="N119" s="15"/>
      <c r="O119" s="38">
        <f t="shared" si="216"/>
        <v>392.53278</v>
      </c>
      <c r="P119" s="183">
        <f t="shared" si="163"/>
        <v>27.071226206896554</v>
      </c>
      <c r="Q119" s="28">
        <v>558.59843000000001</v>
      </c>
      <c r="R119" s="15"/>
      <c r="S119" s="38">
        <f t="shared" si="217"/>
        <v>558.59843000000001</v>
      </c>
      <c r="T119" s="199">
        <f t="shared" si="198"/>
        <v>38.524029655172413</v>
      </c>
      <c r="U119" s="28">
        <v>1075.5254600000001</v>
      </c>
      <c r="V119" s="15"/>
      <c r="W119" s="38">
        <f t="shared" si="223"/>
        <v>1075.5254600000001</v>
      </c>
      <c r="X119" s="206">
        <f t="shared" si="194"/>
        <v>74.17416965517242</v>
      </c>
      <c r="Y119" s="28">
        <v>1252.3511699999999</v>
      </c>
      <c r="Z119" s="15"/>
      <c r="AA119" s="38">
        <f t="shared" si="219"/>
        <v>1252.3511699999999</v>
      </c>
      <c r="AB119" s="191">
        <f t="shared" si="195"/>
        <v>86.369046206896556</v>
      </c>
      <c r="AC119" s="319">
        <f t="shared" si="221"/>
        <v>197.64883000000009</v>
      </c>
      <c r="AD119" s="332">
        <v>1300</v>
      </c>
      <c r="AE119" s="338"/>
      <c r="AF119" s="138">
        <f t="shared" si="224"/>
        <v>1300</v>
      </c>
      <c r="AG119" s="191">
        <f t="shared" si="209"/>
        <v>173.33333333333334</v>
      </c>
      <c r="AH119" s="146"/>
      <c r="AI119" s="544" t="s">
        <v>183</v>
      </c>
      <c r="AJ119" s="351" t="s">
        <v>355</v>
      </c>
    </row>
    <row r="120" spans="1:36" x14ac:dyDescent="0.2">
      <c r="A120" s="67"/>
      <c r="B120" s="22">
        <v>6402</v>
      </c>
      <c r="C120" s="22"/>
      <c r="D120" s="57" t="s">
        <v>264</v>
      </c>
      <c r="E120" s="28">
        <v>31</v>
      </c>
      <c r="F120" s="15"/>
      <c r="G120" s="38">
        <f t="shared" si="222"/>
        <v>31</v>
      </c>
      <c r="H120" s="28">
        <v>11.0817</v>
      </c>
      <c r="I120" s="57"/>
      <c r="J120" s="28">
        <f>E120+H120</f>
        <v>42.081699999999998</v>
      </c>
      <c r="K120" s="15"/>
      <c r="L120" s="38">
        <f t="shared" si="215"/>
        <v>42.081699999999998</v>
      </c>
      <c r="M120" s="28">
        <v>10</v>
      </c>
      <c r="N120" s="15"/>
      <c r="O120" s="38">
        <f t="shared" si="216"/>
        <v>10</v>
      </c>
      <c r="P120" s="183">
        <f t="shared" si="163"/>
        <v>23.763298535943179</v>
      </c>
      <c r="Q120" s="28">
        <v>10</v>
      </c>
      <c r="R120" s="15"/>
      <c r="S120" s="38">
        <f t="shared" si="217"/>
        <v>10</v>
      </c>
      <c r="T120" s="199">
        <f t="shared" si="198"/>
        <v>23.763298535943179</v>
      </c>
      <c r="U120" s="28">
        <f>10+11.0817</f>
        <v>21.081699999999998</v>
      </c>
      <c r="V120" s="15"/>
      <c r="W120" s="38">
        <f t="shared" si="223"/>
        <v>21.081699999999998</v>
      </c>
      <c r="X120" s="206">
        <f t="shared" si="194"/>
        <v>50.097073074519329</v>
      </c>
      <c r="Y120" s="28">
        <v>21.081700000000001</v>
      </c>
      <c r="Z120" s="15"/>
      <c r="AA120" s="38">
        <f t="shared" si="219"/>
        <v>21.081700000000001</v>
      </c>
      <c r="AB120" s="191">
        <f t="shared" si="195"/>
        <v>50.097073074519336</v>
      </c>
      <c r="AC120" s="319">
        <f t="shared" si="221"/>
        <v>20.999999999999996</v>
      </c>
      <c r="AD120" s="338">
        <f>61+37+62</f>
        <v>160</v>
      </c>
      <c r="AE120" s="338"/>
      <c r="AF120" s="138">
        <f t="shared" si="224"/>
        <v>160</v>
      </c>
      <c r="AG120" s="191"/>
      <c r="AH120" s="146" t="s">
        <v>425</v>
      </c>
      <c r="AI120" s="544" t="s">
        <v>183</v>
      </c>
      <c r="AJ120" s="351" t="s">
        <v>355</v>
      </c>
    </row>
    <row r="121" spans="1:36" x14ac:dyDescent="0.2">
      <c r="A121" s="67"/>
      <c r="B121" s="22">
        <v>6409</v>
      </c>
      <c r="C121" s="22">
        <v>100.511</v>
      </c>
      <c r="D121" s="57" t="s">
        <v>150</v>
      </c>
      <c r="E121" s="28">
        <v>534</v>
      </c>
      <c r="F121" s="15"/>
      <c r="G121" s="38">
        <f t="shared" si="222"/>
        <v>534</v>
      </c>
      <c r="H121" s="28"/>
      <c r="I121" s="57"/>
      <c r="J121" s="28">
        <f t="shared" si="214"/>
        <v>534</v>
      </c>
      <c r="K121" s="15"/>
      <c r="L121" s="38">
        <f t="shared" si="215"/>
        <v>534</v>
      </c>
      <c r="M121" s="28">
        <v>526.11811</v>
      </c>
      <c r="N121" s="15"/>
      <c r="O121" s="38">
        <f t="shared" si="216"/>
        <v>526.11811</v>
      </c>
      <c r="P121" s="183">
        <f t="shared" si="163"/>
        <v>98.523990636704113</v>
      </c>
      <c r="Q121" s="28">
        <f>146.33466+379.19</f>
        <v>525.52466000000004</v>
      </c>
      <c r="R121" s="15"/>
      <c r="S121" s="38">
        <f t="shared" si="217"/>
        <v>525.52466000000004</v>
      </c>
      <c r="T121" s="199">
        <f t="shared" si="198"/>
        <v>98.412857677902636</v>
      </c>
      <c r="U121" s="28">
        <f>146.33466+379.19</f>
        <v>525.52466000000004</v>
      </c>
      <c r="V121" s="15"/>
      <c r="W121" s="38">
        <f t="shared" si="223"/>
        <v>525.52466000000004</v>
      </c>
      <c r="X121" s="206">
        <f t="shared" si="194"/>
        <v>98.412857677902636</v>
      </c>
      <c r="Y121" s="28">
        <f>146.33466+379.19</f>
        <v>525.52466000000004</v>
      </c>
      <c r="Z121" s="15"/>
      <c r="AA121" s="38">
        <f t="shared" si="219"/>
        <v>525.52466000000004</v>
      </c>
      <c r="AB121" s="191">
        <f t="shared" si="195"/>
        <v>98.412857677902636</v>
      </c>
      <c r="AC121" s="319">
        <f t="shared" si="221"/>
        <v>8.4753399999999601</v>
      </c>
      <c r="AD121" s="332">
        <v>570</v>
      </c>
      <c r="AE121" s="338"/>
      <c r="AF121" s="138">
        <f t="shared" si="224"/>
        <v>570</v>
      </c>
      <c r="AG121" s="191">
        <f t="shared" si="209"/>
        <v>106.74157303370787</v>
      </c>
      <c r="AH121" s="146"/>
      <c r="AI121" s="544" t="s">
        <v>183</v>
      </c>
      <c r="AJ121" s="583" t="s">
        <v>441</v>
      </c>
    </row>
    <row r="122" spans="1:36" x14ac:dyDescent="0.2">
      <c r="A122" s="67"/>
      <c r="B122" s="22">
        <v>6409</v>
      </c>
      <c r="C122" s="22"/>
      <c r="D122" s="57" t="s">
        <v>456</v>
      </c>
      <c r="E122" s="28">
        <v>1098</v>
      </c>
      <c r="F122" s="15"/>
      <c r="G122" s="38">
        <f t="shared" si="222"/>
        <v>1098</v>
      </c>
      <c r="H122" s="28"/>
      <c r="I122" s="57"/>
      <c r="J122" s="28">
        <f t="shared" ref="J122" si="225">E122+H122</f>
        <v>1098</v>
      </c>
      <c r="K122" s="15"/>
      <c r="L122" s="38">
        <f t="shared" si="215"/>
        <v>1098</v>
      </c>
      <c r="M122" s="28"/>
      <c r="N122" s="15"/>
      <c r="O122" s="38">
        <f t="shared" ref="O122" si="226">M122+N122</f>
        <v>0</v>
      </c>
      <c r="P122" s="183">
        <f t="shared" ref="P122" si="227">O122/$L122*100</f>
        <v>0</v>
      </c>
      <c r="Q122" s="28">
        <v>1097.5540000000001</v>
      </c>
      <c r="R122" s="15"/>
      <c r="S122" s="38">
        <f t="shared" si="217"/>
        <v>1097.5540000000001</v>
      </c>
      <c r="T122" s="199">
        <f t="shared" ref="T122" si="228">S122/$L122*100</f>
        <v>99.959380692167585</v>
      </c>
      <c r="U122" s="28">
        <v>1097.5540000000001</v>
      </c>
      <c r="V122" s="15"/>
      <c r="W122" s="38">
        <f t="shared" ref="W122" si="229">U122+V122</f>
        <v>1097.5540000000001</v>
      </c>
      <c r="X122" s="206">
        <f t="shared" ref="X122" si="230">W122/$L122*100</f>
        <v>99.959380692167585</v>
      </c>
      <c r="Y122" s="28">
        <v>1097.5540000000001</v>
      </c>
      <c r="Z122" s="15"/>
      <c r="AA122" s="38">
        <f t="shared" si="219"/>
        <v>1097.5540000000001</v>
      </c>
      <c r="AB122" s="191">
        <f t="shared" si="195"/>
        <v>99.959380692167585</v>
      </c>
      <c r="AC122" s="319">
        <f t="shared" si="221"/>
        <v>0.44599999999991269</v>
      </c>
      <c r="AD122" s="332">
        <v>950</v>
      </c>
      <c r="AE122" s="338"/>
      <c r="AF122" s="138">
        <f t="shared" si="224"/>
        <v>950</v>
      </c>
      <c r="AG122" s="191">
        <f t="shared" si="209"/>
        <v>86.520947176684885</v>
      </c>
      <c r="AH122" s="146"/>
      <c r="AI122" s="544" t="s">
        <v>355</v>
      </c>
      <c r="AJ122" s="351" t="s">
        <v>249</v>
      </c>
    </row>
    <row r="123" spans="1:36" x14ac:dyDescent="0.2">
      <c r="A123" s="67"/>
      <c r="B123" s="22">
        <v>6409</v>
      </c>
      <c r="C123" s="22"/>
      <c r="D123" s="169" t="s">
        <v>135</v>
      </c>
      <c r="E123" s="28">
        <f>400+1550</f>
        <v>1950</v>
      </c>
      <c r="F123" s="28">
        <v>0</v>
      </c>
      <c r="G123" s="38">
        <f t="shared" si="222"/>
        <v>1950</v>
      </c>
      <c r="H123" s="28">
        <f>356.42169-1250+130+1150-90-210-100+551.5097-140+13.3982+50-240-600-370-170+10</f>
        <v>-908.67041000000006</v>
      </c>
      <c r="I123" s="38"/>
      <c r="J123" s="219">
        <f t="shared" si="214"/>
        <v>1041.3295899999998</v>
      </c>
      <c r="K123" s="15">
        <f>F123+I123</f>
        <v>0</v>
      </c>
      <c r="L123" s="38">
        <f t="shared" si="215"/>
        <v>1041.3295899999998</v>
      </c>
      <c r="M123" s="28"/>
      <c r="N123" s="15"/>
      <c r="O123" s="38">
        <f t="shared" ref="O123" si="231">M123+N123</f>
        <v>0</v>
      </c>
      <c r="P123" s="183">
        <f t="shared" si="163"/>
        <v>0</v>
      </c>
      <c r="Q123" s="28"/>
      <c r="R123" s="15"/>
      <c r="S123" s="38">
        <f t="shared" ref="S123" si="232">Q123+R123</f>
        <v>0</v>
      </c>
      <c r="T123" s="199">
        <f t="shared" si="198"/>
        <v>0</v>
      </c>
      <c r="U123" s="28"/>
      <c r="V123" s="15"/>
      <c r="W123" s="38">
        <f t="shared" ref="W123" si="233">U123+V123</f>
        <v>0</v>
      </c>
      <c r="X123" s="206">
        <f t="shared" si="194"/>
        <v>0</v>
      </c>
      <c r="Y123" s="28"/>
      <c r="Z123" s="15"/>
      <c r="AA123" s="38">
        <f t="shared" si="219"/>
        <v>0</v>
      </c>
      <c r="AB123" s="191">
        <f t="shared" si="195"/>
        <v>0</v>
      </c>
      <c r="AC123" s="319">
        <f t="shared" si="221"/>
        <v>1041.3295899999998</v>
      </c>
      <c r="AD123" s="42">
        <v>1850</v>
      </c>
      <c r="AE123" s="10"/>
      <c r="AF123" s="138">
        <f t="shared" ref="AF123" si="234">AD123+AE123</f>
        <v>1850</v>
      </c>
      <c r="AG123" s="191">
        <f t="shared" si="209"/>
        <v>94.871794871794862</v>
      </c>
      <c r="AH123" s="146"/>
      <c r="AI123" s="580" t="s">
        <v>355</v>
      </c>
      <c r="AJ123" s="351" t="s">
        <v>249</v>
      </c>
    </row>
    <row r="124" spans="1:36" ht="13.5" thickBot="1" x14ac:dyDescent="0.25">
      <c r="A124" s="77"/>
      <c r="B124" s="66"/>
      <c r="C124" s="66"/>
      <c r="D124" s="170" t="s">
        <v>85</v>
      </c>
      <c r="E124" s="166">
        <f t="shared" ref="E124:O124" si="235">SUM(E5+E8+E14+E32+E46+E58+E66+E68+E88+E98+E104+E108+E114)</f>
        <v>174769</v>
      </c>
      <c r="F124" s="103">
        <f t="shared" si="235"/>
        <v>42326</v>
      </c>
      <c r="G124" s="103">
        <f t="shared" si="235"/>
        <v>217095</v>
      </c>
      <c r="H124" s="85">
        <f t="shared" si="235"/>
        <v>6565.7462900000019</v>
      </c>
      <c r="I124" s="85">
        <f t="shared" si="235"/>
        <v>10567.018</v>
      </c>
      <c r="J124" s="85">
        <f t="shared" si="235"/>
        <v>181334.74629000001</v>
      </c>
      <c r="K124" s="103">
        <f t="shared" si="235"/>
        <v>52893.017999999996</v>
      </c>
      <c r="L124" s="103">
        <f t="shared" si="235"/>
        <v>234227.76429000005</v>
      </c>
      <c r="M124" s="85">
        <f t="shared" si="235"/>
        <v>39669.549010000002</v>
      </c>
      <c r="N124" s="103">
        <f t="shared" si="235"/>
        <v>1782.65769</v>
      </c>
      <c r="O124" s="103">
        <f t="shared" si="235"/>
        <v>41452.206700000002</v>
      </c>
      <c r="P124" s="188">
        <f t="shared" si="163"/>
        <v>17.697392461415273</v>
      </c>
      <c r="Q124" s="85">
        <f>SUM(Q5+Q8+Q14+Q32+Q46+Q58+Q66+Q68+Q88+Q98+Q104+Q108+Q114)</f>
        <v>80484.105609999999</v>
      </c>
      <c r="R124" s="103">
        <f>SUM(R5+R8+R14+R32+R46+R58+R66+R68+R88+R98+R104+R108+R114)</f>
        <v>9698.7398600000015</v>
      </c>
      <c r="S124" s="103">
        <f>SUM(S5+S8+S14+S32+S46+S58+S66+S68+S88+S98+S104+S108+S114)</f>
        <v>90182.84547</v>
      </c>
      <c r="T124" s="204">
        <f t="shared" si="198"/>
        <v>38.502201369408795</v>
      </c>
      <c r="U124" s="85">
        <f>SUM(U5+U8+U14+U32+U46+U58+U66+U68+U88+U98+U104+U108+U114)</f>
        <v>120597.82463999999</v>
      </c>
      <c r="V124" s="103">
        <f>SUM(V5+V8+V14+V32+V46+V58+V66+V68+V88+V98+V104+V108+V114)</f>
        <v>18460.720369999999</v>
      </c>
      <c r="W124" s="103">
        <f>SUM(W5+W8+W14+W32+W46+W58+W66+W68+W88+W98+W104+W108+W114)</f>
        <v>139058.54501</v>
      </c>
      <c r="X124" s="211">
        <f t="shared" si="194"/>
        <v>59.368941778323958</v>
      </c>
      <c r="Y124" s="85">
        <f>SUM(Y5+Y8+Y14+Y32+Y46+Y58+Y66+Y68+Y88+Y98+Y104+Y108+Y114)</f>
        <v>168387.05284999998</v>
      </c>
      <c r="Z124" s="103">
        <f>SUM(Z5+Z8+Z14+Z32+Z46+Z58+Z66+Z68+Z88+Z98+Z104+Z108+Z114)</f>
        <v>39235.250590000003</v>
      </c>
      <c r="AA124" s="103">
        <f>SUM(AA5+AA8+AA14+AA32+AA46+AA58+AA66+AA68+AA88+AA98+AA104+AA108+AA114)</f>
        <v>207622.30343999999</v>
      </c>
      <c r="AB124" s="392">
        <f t="shared" si="195"/>
        <v>88.641201041794716</v>
      </c>
      <c r="AC124" s="321">
        <f>SUM(AC5+AC8+AC14+AC32+AC46+AC58+AC66+AC68+AC88+AC98+AC104+AC108+AC114)</f>
        <v>26605.460849999992</v>
      </c>
      <c r="AD124" s="85">
        <f>SUM(AD5+AD8+AD14+AD32+AD46+AD58+AD66+AD68+AD88+AD98+AD104+AD108+AD114)</f>
        <v>186357</v>
      </c>
      <c r="AE124" s="103">
        <f>SUM(AE5+AE8+AE14+AE32+AE46+AE58+AE66+AE68+AE88+AE98+AE104+AE108+AE114)</f>
        <v>52469</v>
      </c>
      <c r="AF124" s="348">
        <f>SUM(AF5+AF8+AF14+AF32+AF46+AF58+AF66+AF68+AF88+AF98+AF104+AF108+AF114)</f>
        <v>238826</v>
      </c>
      <c r="AG124" s="392">
        <f t="shared" si="209"/>
        <v>110.00990349846842</v>
      </c>
      <c r="AH124" s="152"/>
      <c r="AI124" s="586"/>
      <c r="AJ124" s="587"/>
    </row>
    <row r="125" spans="1:36" ht="13.5" thickBot="1" x14ac:dyDescent="0.25">
      <c r="A125" s="27"/>
      <c r="B125" s="71"/>
      <c r="C125" s="71"/>
      <c r="D125" s="71"/>
      <c r="E125" s="159" t="s">
        <v>86</v>
      </c>
      <c r="F125" s="160"/>
      <c r="G125" s="161">
        <f>SUM(E124:F124)</f>
        <v>217095</v>
      </c>
      <c r="H125" s="159"/>
      <c r="I125" s="314"/>
      <c r="J125" s="159"/>
      <c r="K125" s="71"/>
      <c r="L125" s="162">
        <f>+G124+H124+I124</f>
        <v>234227.76429000002</v>
      </c>
      <c r="M125" s="159" t="s">
        <v>86</v>
      </c>
      <c r="N125" s="71"/>
      <c r="O125" s="162">
        <f>SUM(M124:N124)</f>
        <v>41452.206700000002</v>
      </c>
      <c r="P125" s="162"/>
      <c r="Q125" s="159" t="s">
        <v>86</v>
      </c>
      <c r="R125" s="71"/>
      <c r="S125" s="162">
        <f>SUM(Q124:R124)</f>
        <v>90182.84547</v>
      </c>
      <c r="T125" s="162"/>
      <c r="U125" s="159" t="s">
        <v>86</v>
      </c>
      <c r="V125" s="71"/>
      <c r="W125" s="162">
        <f>SUM(U124:V124)</f>
        <v>139058.54501</v>
      </c>
      <c r="X125" s="212"/>
      <c r="Y125" s="163" t="s">
        <v>86</v>
      </c>
      <c r="Z125" s="225"/>
      <c r="AA125" s="162">
        <f>SUM(Y124:Z124)</f>
        <v>207622.30343999999</v>
      </c>
      <c r="AB125" s="393"/>
      <c r="AC125" s="322"/>
      <c r="AD125" s="159" t="s">
        <v>86</v>
      </c>
      <c r="AE125" s="160"/>
      <c r="AF125" s="176">
        <f>SUM(AD124:AE124)</f>
        <v>238826</v>
      </c>
      <c r="AG125" s="395"/>
      <c r="AH125" s="164"/>
      <c r="AI125" s="588"/>
      <c r="AJ125" s="589"/>
    </row>
    <row r="126" spans="1:36" x14ac:dyDescent="0.2">
      <c r="A126" s="26"/>
      <c r="D126" s="98"/>
      <c r="E126" s="19"/>
      <c r="F126" s="19"/>
      <c r="G126" s="47"/>
      <c r="H126" s="19"/>
      <c r="I126" s="315">
        <f>H124+I124</f>
        <v>17132.764290000003</v>
      </c>
      <c r="J126" s="19"/>
      <c r="K126" s="19"/>
      <c r="L126" s="47"/>
      <c r="M126" s="19"/>
      <c r="N126" s="19"/>
      <c r="O126" s="47"/>
      <c r="P126" s="47"/>
      <c r="Q126" s="19"/>
      <c r="R126" s="19"/>
      <c r="S126" s="47"/>
      <c r="T126" s="47"/>
      <c r="U126" s="19"/>
      <c r="V126" s="19"/>
      <c r="W126" s="47"/>
      <c r="X126" s="47"/>
      <c r="Y126" s="132"/>
      <c r="Z126" s="47"/>
      <c r="AA126" s="47"/>
      <c r="AB126" s="107"/>
      <c r="AC126" s="19"/>
      <c r="AD126" s="19"/>
      <c r="AE126" s="19"/>
      <c r="AF126" s="47"/>
      <c r="AG126" s="107"/>
      <c r="AH126" s="135"/>
    </row>
    <row r="127" spans="1:36" x14ac:dyDescent="0.2">
      <c r="A127" s="26"/>
      <c r="D127" s="126"/>
      <c r="E127" s="19"/>
      <c r="F127" s="19"/>
      <c r="G127" s="47"/>
      <c r="H127" s="19"/>
      <c r="I127" s="19"/>
      <c r="J127" s="19"/>
      <c r="K127" s="19"/>
      <c r="L127" s="47"/>
      <c r="M127" s="19"/>
      <c r="N127" s="19"/>
      <c r="O127" s="47"/>
      <c r="P127" s="47"/>
      <c r="Q127" s="19"/>
      <c r="R127" s="19"/>
      <c r="S127" s="47"/>
      <c r="T127" s="47"/>
      <c r="U127" s="19"/>
      <c r="V127" s="19"/>
      <c r="W127" s="47"/>
      <c r="X127" s="47"/>
      <c r="Y127" s="132"/>
      <c r="Z127" s="47"/>
      <c r="AA127" s="47"/>
      <c r="AB127" s="107"/>
      <c r="AC127" s="47"/>
      <c r="AD127" s="19"/>
      <c r="AE127" s="19"/>
      <c r="AF127" s="47"/>
      <c r="AG127" s="107"/>
      <c r="AH127" s="135"/>
    </row>
    <row r="128" spans="1:36" x14ac:dyDescent="0.2">
      <c r="D128" s="98"/>
      <c r="K128" s="70"/>
      <c r="R128" s="70"/>
      <c r="V128" s="47"/>
    </row>
    <row r="129" spans="4:32" x14ac:dyDescent="0.2">
      <c r="D129" s="98"/>
      <c r="H129" s="70"/>
      <c r="M129" s="194"/>
      <c r="AD129" s="127"/>
    </row>
    <row r="130" spans="4:32" x14ac:dyDescent="0.2">
      <c r="M130" s="194"/>
    </row>
    <row r="131" spans="4:32" x14ac:dyDescent="0.2">
      <c r="G131" s="70"/>
      <c r="M131" s="194"/>
      <c r="O131" s="193"/>
      <c r="AA131" s="222"/>
      <c r="AF131" s="70"/>
    </row>
    <row r="132" spans="4:32" x14ac:dyDescent="0.2">
      <c r="K132" s="70"/>
      <c r="L132" s="70"/>
      <c r="M132" s="194"/>
      <c r="AA132" s="222"/>
    </row>
    <row r="133" spans="4:32" x14ac:dyDescent="0.2">
      <c r="M133" s="194"/>
      <c r="W133" s="70"/>
      <c r="AA133" s="222"/>
    </row>
    <row r="134" spans="4:32" x14ac:dyDescent="0.2">
      <c r="AA134" s="222"/>
    </row>
    <row r="135" spans="4:32" x14ac:dyDescent="0.2">
      <c r="AA135" s="222"/>
    </row>
    <row r="136" spans="4:32" x14ac:dyDescent="0.2">
      <c r="AA136" s="222"/>
    </row>
    <row r="137" spans="4:32" x14ac:dyDescent="0.2">
      <c r="AA137" s="222"/>
    </row>
  </sheetData>
  <sortState ref="A14:GH24">
    <sortCondition ref="B14:B24"/>
    <sortCondition ref="C14:C24"/>
  </sortState>
  <mergeCells count="1">
    <mergeCell ref="H2:I2"/>
  </mergeCells>
  <phoneticPr fontId="6" type="noConversion"/>
  <pageMargins left="0.15748031496062992" right="0.19685039370078741" top="0.59055118110236227" bottom="0.39370078740157483" header="0.15748031496062992" footer="0.23622047244094491"/>
  <pageSetup paperSize="9" scale="75" fitToHeight="0" orientation="landscape" r:id="rId1"/>
  <headerFooter alignWithMargins="0">
    <oddHeader xml:space="preserve">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/>
  </sheetViews>
  <sheetFormatPr defaultColWidth="7.85546875" defaultRowHeight="12.75" x14ac:dyDescent="0.2"/>
  <cols>
    <col min="1" max="1" width="25.85546875" style="19" customWidth="1"/>
    <col min="2" max="2" width="11.7109375" style="64" customWidth="1"/>
    <col min="3" max="3" width="13" style="64" customWidth="1"/>
    <col min="4" max="4" width="11.42578125" style="64" bestFit="1" customWidth="1"/>
    <col min="5" max="16384" width="7.85546875" style="64"/>
  </cols>
  <sheetData>
    <row r="1" spans="1:6" x14ac:dyDescent="0.2">
      <c r="A1" s="3" t="s">
        <v>547</v>
      </c>
      <c r="B1" s="326"/>
      <c r="C1" s="326"/>
      <c r="D1" s="326"/>
    </row>
    <row r="2" spans="1:6" s="324" customFormat="1" ht="15" x14ac:dyDescent="0.2">
      <c r="A2" s="64"/>
      <c r="B2" s="327"/>
      <c r="C2" s="327"/>
      <c r="D2" s="327"/>
    </row>
    <row r="3" spans="1:6" s="324" customFormat="1" ht="15" x14ac:dyDescent="0.2">
      <c r="A3" s="64" t="s">
        <v>23</v>
      </c>
      <c r="B3" s="327" t="s">
        <v>531</v>
      </c>
      <c r="C3" s="327" t="s">
        <v>546</v>
      </c>
      <c r="D3" s="327" t="s">
        <v>194</v>
      </c>
    </row>
    <row r="4" spans="1:6" s="324" customFormat="1" ht="15" x14ac:dyDescent="0.2">
      <c r="A4" s="3" t="s">
        <v>92</v>
      </c>
      <c r="B4" s="70">
        <f>příjmy!S41</f>
        <v>650</v>
      </c>
      <c r="C4" s="70">
        <f>výdaje!L6</f>
        <v>1488.537</v>
      </c>
      <c r="D4" s="134">
        <f t="shared" ref="D4:D16" si="0">B4-C4</f>
        <v>-838.53700000000003</v>
      </c>
    </row>
    <row r="5" spans="1:6" s="325" customFormat="1" ht="15" x14ac:dyDescent="0.2">
      <c r="A5" s="328" t="s">
        <v>195</v>
      </c>
      <c r="B5" s="79">
        <f>příjmy!S62</f>
        <v>550</v>
      </c>
      <c r="C5" s="79">
        <f>výdaje!AD10</f>
        <v>450</v>
      </c>
      <c r="D5" s="134">
        <f t="shared" si="0"/>
        <v>100</v>
      </c>
    </row>
    <row r="6" spans="1:6" s="324" customFormat="1" ht="15" x14ac:dyDescent="0.2">
      <c r="A6" s="3" t="s">
        <v>348</v>
      </c>
      <c r="B6" s="79">
        <f>příjmy!S83</f>
        <v>1800</v>
      </c>
      <c r="C6" s="79">
        <f>výdaje!AF29</f>
        <v>1503</v>
      </c>
      <c r="D6" s="134">
        <f t="shared" si="0"/>
        <v>297</v>
      </c>
    </row>
    <row r="7" spans="1:6" s="324" customFormat="1" ht="15" x14ac:dyDescent="0.2">
      <c r="A7" s="3" t="s">
        <v>75</v>
      </c>
      <c r="B7" s="70">
        <f>SUM(B8:B11)</f>
        <v>12346</v>
      </c>
      <c r="C7" s="70">
        <f>SUM(C8:C11)</f>
        <v>6346</v>
      </c>
      <c r="D7" s="134">
        <f t="shared" si="0"/>
        <v>6000</v>
      </c>
    </row>
    <row r="8" spans="1:6" x14ac:dyDescent="0.2">
      <c r="A8" s="19" t="s">
        <v>208</v>
      </c>
      <c r="B8" s="47">
        <f>příjmy!S66</f>
        <v>8309</v>
      </c>
      <c r="C8" s="47">
        <f>výdaje!AF69</f>
        <v>2609</v>
      </c>
      <c r="D8" s="323"/>
      <c r="F8" s="70"/>
    </row>
    <row r="9" spans="1:6" x14ac:dyDescent="0.2">
      <c r="A9" s="19" t="s">
        <v>196</v>
      </c>
      <c r="B9" s="47">
        <f>příjmy!S50</f>
        <v>2929</v>
      </c>
      <c r="C9" s="47">
        <f>výdaje!AF70</f>
        <v>2929</v>
      </c>
      <c r="D9" s="323"/>
      <c r="F9" s="70"/>
    </row>
    <row r="10" spans="1:6" x14ac:dyDescent="0.2">
      <c r="A10" s="19" t="s">
        <v>197</v>
      </c>
      <c r="B10" s="47">
        <f>příjmy!S67</f>
        <v>708</v>
      </c>
      <c r="C10" s="47">
        <f>výdaje!AF76</f>
        <v>408</v>
      </c>
      <c r="D10" s="323"/>
      <c r="F10" s="70"/>
    </row>
    <row r="11" spans="1:6" x14ac:dyDescent="0.2">
      <c r="A11" s="19" t="s">
        <v>198</v>
      </c>
      <c r="B11" s="47">
        <f>příjmy!S51</f>
        <v>400</v>
      </c>
      <c r="C11" s="47">
        <f>výdaje!AF77</f>
        <v>400</v>
      </c>
      <c r="D11" s="323"/>
      <c r="F11" s="70"/>
    </row>
    <row r="12" spans="1:6" s="324" customFormat="1" ht="15" x14ac:dyDescent="0.2">
      <c r="A12" s="3" t="s">
        <v>199</v>
      </c>
      <c r="B12" s="70">
        <f>SUM(B13:B14)</f>
        <v>4900</v>
      </c>
      <c r="C12" s="70">
        <f>výdaje!AF89</f>
        <v>9394</v>
      </c>
      <c r="D12" s="134">
        <f t="shared" si="0"/>
        <v>-4494</v>
      </c>
    </row>
    <row r="13" spans="1:6" x14ac:dyDescent="0.2">
      <c r="A13" s="19" t="s">
        <v>200</v>
      </c>
      <c r="B13" s="47">
        <f>příjmy!S30</f>
        <v>3100</v>
      </c>
      <c r="C13" s="47"/>
      <c r="D13" s="47"/>
    </row>
    <row r="14" spans="1:6" x14ac:dyDescent="0.2">
      <c r="A14" s="19" t="s">
        <v>201</v>
      </c>
      <c r="B14" s="47">
        <f>příjmy!S60</f>
        <v>1800</v>
      </c>
      <c r="C14" s="47"/>
      <c r="D14" s="47"/>
    </row>
    <row r="15" spans="1:6" s="324" customFormat="1" ht="15" x14ac:dyDescent="0.2">
      <c r="A15" s="3" t="s">
        <v>38</v>
      </c>
      <c r="B15" s="70">
        <f>příjmy!S52</f>
        <v>210</v>
      </c>
      <c r="C15" s="70">
        <f>výdaje!AF80</f>
        <v>446</v>
      </c>
      <c r="D15" s="134">
        <f t="shared" si="0"/>
        <v>-236</v>
      </c>
    </row>
    <row r="16" spans="1:6" s="324" customFormat="1" ht="15" x14ac:dyDescent="0.2">
      <c r="A16" s="3" t="s">
        <v>202</v>
      </c>
      <c r="B16" s="70">
        <f>příjmy!S55</f>
        <v>50</v>
      </c>
      <c r="C16" s="70">
        <f>výdaje!AF85</f>
        <v>589</v>
      </c>
      <c r="D16" s="134">
        <f t="shared" si="0"/>
        <v>-539</v>
      </c>
    </row>
    <row r="17" spans="1:4" s="324" customFormat="1" ht="15" x14ac:dyDescent="0.2">
      <c r="A17" s="3" t="s">
        <v>39</v>
      </c>
      <c r="B17" s="70">
        <f>SUM(B18:B20)</f>
        <v>4883</v>
      </c>
      <c r="C17" s="70">
        <f>výdaje!AD102</f>
        <v>6839</v>
      </c>
      <c r="D17" s="134">
        <f>B17-C17</f>
        <v>-1956</v>
      </c>
    </row>
    <row r="18" spans="1:4" x14ac:dyDescent="0.2">
      <c r="A18" s="19" t="s">
        <v>243</v>
      </c>
      <c r="B18" s="47">
        <f>příjmy!S139</f>
        <v>3200</v>
      </c>
      <c r="C18" s="47"/>
      <c r="D18" s="47"/>
    </row>
    <row r="19" spans="1:4" x14ac:dyDescent="0.2">
      <c r="A19" s="19" t="s">
        <v>335</v>
      </c>
      <c r="B19" s="47">
        <f>příjmy!S127</f>
        <v>500</v>
      </c>
      <c r="C19" s="47"/>
      <c r="D19" s="47"/>
    </row>
    <row r="20" spans="1:4" x14ac:dyDescent="0.2">
      <c r="A20" s="19" t="s">
        <v>244</v>
      </c>
      <c r="B20" s="47">
        <f>příjmy!S56</f>
        <v>1183</v>
      </c>
      <c r="C20" s="47"/>
      <c r="D20" s="47"/>
    </row>
    <row r="21" spans="1:4" s="324" customFormat="1" ht="15" x14ac:dyDescent="0.2">
      <c r="A21" s="3" t="s">
        <v>251</v>
      </c>
      <c r="B21" s="70">
        <f>SUM(B22:B23)</f>
        <v>210</v>
      </c>
      <c r="C21" s="70">
        <f>SUM(C22:C23)</f>
        <v>3115</v>
      </c>
      <c r="D21" s="134">
        <f>B21-C21</f>
        <v>-2905</v>
      </c>
    </row>
    <row r="22" spans="1:4" x14ac:dyDescent="0.2">
      <c r="A22" s="19" t="s">
        <v>253</v>
      </c>
      <c r="B22" s="47">
        <f>příjmy!S85</f>
        <v>90</v>
      </c>
      <c r="C22" s="47">
        <f>výdaje!AF106</f>
        <v>3115</v>
      </c>
      <c r="D22" s="323"/>
    </row>
    <row r="23" spans="1:4" x14ac:dyDescent="0.2">
      <c r="A23" s="19" t="s">
        <v>252</v>
      </c>
      <c r="B23" s="47">
        <f>příjmy!S125</f>
        <v>120</v>
      </c>
      <c r="C23" s="19"/>
      <c r="D23" s="323"/>
    </row>
    <row r="24" spans="1:4" s="324" customFormat="1" ht="15.75" x14ac:dyDescent="0.25">
      <c r="A24" s="1"/>
    </row>
  </sheetData>
  <pageMargins left="0.78740157480314965" right="0.15748031496062992" top="0.98425196850393704" bottom="0.98425196850393704" header="0.51181102362204722" footer="0.51181102362204722"/>
  <pageSetup paperSize="9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workbookViewId="0">
      <selection activeCell="C1" sqref="C1"/>
    </sheetView>
  </sheetViews>
  <sheetFormatPr defaultColWidth="9.140625" defaultRowHeight="12.75" x14ac:dyDescent="0.2"/>
  <cols>
    <col min="1" max="1" width="5" customWidth="1"/>
    <col min="2" max="2" width="5.42578125" customWidth="1"/>
    <col min="3" max="3" width="56.5703125" bestFit="1" customWidth="1"/>
    <col min="4" max="4" width="12.42578125" customWidth="1"/>
  </cols>
  <sheetData>
    <row r="1" spans="2:4" ht="15.75" x14ac:dyDescent="0.25">
      <c r="C1" s="1" t="s">
        <v>570</v>
      </c>
    </row>
    <row r="2" spans="2:4" ht="45.75" customHeight="1" x14ac:dyDescent="0.2"/>
    <row r="3" spans="2:4" s="140" customFormat="1" ht="18" x14ac:dyDescent="0.25">
      <c r="B3" s="153" t="s">
        <v>377</v>
      </c>
      <c r="C3" s="154" t="s">
        <v>544</v>
      </c>
      <c r="D3" s="156" t="s">
        <v>380</v>
      </c>
    </row>
    <row r="4" spans="2:4" ht="17.25" customHeight="1" x14ac:dyDescent="0.2">
      <c r="C4" s="155" t="s">
        <v>376</v>
      </c>
    </row>
    <row r="5" spans="2:4" ht="17.25" customHeight="1" x14ac:dyDescent="0.2">
      <c r="C5" s="64" t="s">
        <v>7</v>
      </c>
      <c r="D5" s="112">
        <f>sumář!O10</f>
        <v>117305</v>
      </c>
    </row>
    <row r="6" spans="2:4" ht="17.25" customHeight="1" x14ac:dyDescent="0.2">
      <c r="C6" s="64" t="s">
        <v>8</v>
      </c>
      <c r="D6" s="112">
        <f>sumář!O11</f>
        <v>34101</v>
      </c>
    </row>
    <row r="7" spans="2:4" ht="17.25" customHeight="1" x14ac:dyDescent="0.2">
      <c r="C7" s="64" t="s">
        <v>9</v>
      </c>
      <c r="D7" s="112">
        <f>sumář!O12</f>
        <v>18387</v>
      </c>
    </row>
    <row r="8" spans="2:4" ht="17.25" customHeight="1" x14ac:dyDescent="0.2">
      <c r="C8" s="64" t="s">
        <v>10</v>
      </c>
      <c r="D8" s="112">
        <f>sumář!O13</f>
        <v>35493</v>
      </c>
    </row>
    <row r="9" spans="2:4" ht="17.25" customHeight="1" x14ac:dyDescent="0.2">
      <c r="C9" s="3" t="s">
        <v>11</v>
      </c>
      <c r="D9" s="123">
        <f>SUM(D5:D8)</f>
        <v>205286</v>
      </c>
    </row>
    <row r="10" spans="2:4" ht="17.25" customHeight="1" x14ac:dyDescent="0.2"/>
    <row r="11" spans="2:4" ht="17.25" customHeight="1" x14ac:dyDescent="0.2">
      <c r="B11" t="s">
        <v>375</v>
      </c>
      <c r="C11" s="155" t="s">
        <v>374</v>
      </c>
    </row>
    <row r="12" spans="2:4" ht="17.25" customHeight="1" x14ac:dyDescent="0.2">
      <c r="B12">
        <v>10</v>
      </c>
      <c r="C12" t="s">
        <v>67</v>
      </c>
      <c r="D12" s="112">
        <f>výdaje!AF5</f>
        <v>1455</v>
      </c>
    </row>
    <row r="13" spans="2:4" ht="17.25" customHeight="1" x14ac:dyDescent="0.2">
      <c r="B13">
        <v>21</v>
      </c>
      <c r="C13" t="s">
        <v>219</v>
      </c>
      <c r="D13" s="112">
        <f>výdaje!AF8</f>
        <v>2197</v>
      </c>
    </row>
    <row r="14" spans="2:4" ht="17.25" customHeight="1" x14ac:dyDescent="0.2">
      <c r="B14">
        <v>22</v>
      </c>
      <c r="C14" t="s">
        <v>70</v>
      </c>
      <c r="D14" s="112">
        <f>výdaje!AF14</f>
        <v>36460</v>
      </c>
    </row>
    <row r="15" spans="2:4" ht="17.25" customHeight="1" x14ac:dyDescent="0.2">
      <c r="B15">
        <v>31</v>
      </c>
      <c r="C15" t="s">
        <v>312</v>
      </c>
      <c r="D15" s="112">
        <f>výdaje!AF32</f>
        <v>30129</v>
      </c>
    </row>
    <row r="16" spans="2:4" ht="17.25" customHeight="1" x14ac:dyDescent="0.2">
      <c r="B16">
        <v>33</v>
      </c>
      <c r="C16" t="s">
        <v>71</v>
      </c>
      <c r="D16" s="112">
        <f>výdaje!AF46</f>
        <v>15979</v>
      </c>
    </row>
    <row r="17" spans="2:4" ht="17.25" customHeight="1" x14ac:dyDescent="0.2">
      <c r="B17">
        <v>34</v>
      </c>
      <c r="C17" t="s">
        <v>73</v>
      </c>
      <c r="D17" s="112">
        <f>výdaje!AF58</f>
        <v>10009</v>
      </c>
    </row>
    <row r="18" spans="2:4" ht="17.25" customHeight="1" x14ac:dyDescent="0.2">
      <c r="B18">
        <v>35</v>
      </c>
      <c r="C18" t="s">
        <v>111</v>
      </c>
      <c r="D18" s="112">
        <f>výdaje!AF66</f>
        <v>13309</v>
      </c>
    </row>
    <row r="19" spans="2:4" ht="17.25" customHeight="1" x14ac:dyDescent="0.2">
      <c r="B19">
        <v>36</v>
      </c>
      <c r="C19" t="s">
        <v>74</v>
      </c>
      <c r="D19" s="112">
        <f>výdaje!AF68</f>
        <v>19272</v>
      </c>
    </row>
    <row r="20" spans="2:4" ht="17.25" customHeight="1" x14ac:dyDescent="0.2">
      <c r="B20">
        <v>37</v>
      </c>
      <c r="C20" t="s">
        <v>112</v>
      </c>
      <c r="D20" s="112">
        <f>výdaje!AF88</f>
        <v>16827</v>
      </c>
    </row>
    <row r="21" spans="2:4" ht="17.25" customHeight="1" x14ac:dyDescent="0.2">
      <c r="B21">
        <v>43</v>
      </c>
      <c r="C21" t="s">
        <v>79</v>
      </c>
      <c r="D21" s="112">
        <f>výdaje!AF98</f>
        <v>10369</v>
      </c>
    </row>
    <row r="22" spans="2:4" ht="17.25" customHeight="1" x14ac:dyDescent="0.2">
      <c r="B22">
        <v>53</v>
      </c>
      <c r="C22" t="s">
        <v>101</v>
      </c>
      <c r="D22" s="112">
        <f>výdaje!AF104</f>
        <v>3987</v>
      </c>
    </row>
    <row r="23" spans="2:4" ht="17.25" customHeight="1" x14ac:dyDescent="0.2">
      <c r="B23">
        <v>61</v>
      </c>
      <c r="C23" t="s">
        <v>81</v>
      </c>
      <c r="D23" s="112">
        <f>výdaje!AF108</f>
        <v>69648</v>
      </c>
    </row>
    <row r="24" spans="2:4" ht="17.25" customHeight="1" x14ac:dyDescent="0.2">
      <c r="B24">
        <v>63</v>
      </c>
      <c r="C24" t="s">
        <v>83</v>
      </c>
      <c r="D24" s="112">
        <f>výdaje!AF114</f>
        <v>9185</v>
      </c>
    </row>
    <row r="25" spans="2:4" ht="17.25" customHeight="1" x14ac:dyDescent="0.2">
      <c r="C25" s="155" t="s">
        <v>85</v>
      </c>
      <c r="D25" s="123">
        <f>SUM(D12:D24)</f>
        <v>238826</v>
      </c>
    </row>
    <row r="26" spans="2:4" ht="17.25" customHeight="1" x14ac:dyDescent="0.2">
      <c r="C26" s="155" t="s">
        <v>373</v>
      </c>
      <c r="D26" s="123">
        <f>D9-D25</f>
        <v>-33540</v>
      </c>
    </row>
    <row r="27" spans="2:4" ht="17.25" customHeight="1" x14ac:dyDescent="0.2">
      <c r="D27" s="112"/>
    </row>
    <row r="28" spans="2:4" ht="17.25" customHeight="1" x14ac:dyDescent="0.2">
      <c r="C28" s="155" t="s">
        <v>372</v>
      </c>
    </row>
    <row r="29" spans="2:4" ht="17.25" customHeight="1" x14ac:dyDescent="0.2">
      <c r="C29" s="64" t="s">
        <v>277</v>
      </c>
      <c r="D29" s="112">
        <f>sumář!O22</f>
        <v>-2328</v>
      </c>
    </row>
    <row r="30" spans="2:4" ht="17.25" customHeight="1" x14ac:dyDescent="0.2">
      <c r="C30" s="64" t="s">
        <v>289</v>
      </c>
      <c r="D30" s="112">
        <v>0</v>
      </c>
    </row>
    <row r="31" spans="2:4" ht="17.25" customHeight="1" x14ac:dyDescent="0.2">
      <c r="C31" s="64" t="s">
        <v>581</v>
      </c>
      <c r="D31" s="112">
        <f>sumář!O27</f>
        <v>35868</v>
      </c>
    </row>
    <row r="32" spans="2:4" ht="17.25" customHeight="1" x14ac:dyDescent="0.2">
      <c r="C32" s="155" t="s">
        <v>18</v>
      </c>
      <c r="D32" s="123">
        <f>SUM(D29:D31)</f>
        <v>33540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workbookViewId="0"/>
  </sheetViews>
  <sheetFormatPr defaultRowHeight="12.75" x14ac:dyDescent="0.2"/>
  <cols>
    <col min="1" max="1" width="28.7109375" style="233" customWidth="1"/>
    <col min="2" max="2" width="4.140625" style="233" customWidth="1"/>
    <col min="3" max="3" width="9.42578125" customWidth="1"/>
    <col min="4" max="4" width="11.42578125" bestFit="1" customWidth="1"/>
    <col min="5" max="5" width="10.42578125" bestFit="1" customWidth="1"/>
    <col min="6" max="6" width="10.28515625" bestFit="1" customWidth="1"/>
    <col min="7" max="8" width="8.5703125" bestFit="1" customWidth="1"/>
    <col min="9" max="9" width="6.7109375" bestFit="1" customWidth="1"/>
    <col min="10" max="10" width="8.42578125" bestFit="1" customWidth="1"/>
    <col min="11" max="11" width="6.28515625" bestFit="1" customWidth="1"/>
    <col min="12" max="13" width="5" bestFit="1" customWidth="1"/>
    <col min="14" max="14" width="5.5703125" bestFit="1" customWidth="1"/>
    <col min="15" max="15" width="6" bestFit="1" customWidth="1"/>
    <col min="16" max="20" width="6.5703125" bestFit="1" customWidth="1"/>
    <col min="21" max="21" width="8.85546875" customWidth="1"/>
    <col min="22" max="22" width="3.7109375" bestFit="1" customWidth="1"/>
    <col min="26" max="26" width="6.42578125" customWidth="1"/>
  </cols>
  <sheetData>
    <row r="1" spans="1:22" ht="18" x14ac:dyDescent="0.25">
      <c r="A1" s="307" t="s">
        <v>543</v>
      </c>
      <c r="B1" s="307"/>
      <c r="C1" s="275"/>
    </row>
    <row r="2" spans="1:22" ht="13.5" thickBot="1" x14ac:dyDescent="0.25">
      <c r="A2" s="233" t="s">
        <v>542</v>
      </c>
    </row>
    <row r="3" spans="1:22" s="303" customFormat="1" ht="50.25" customHeight="1" x14ac:dyDescent="0.2">
      <c r="A3" s="306" t="s">
        <v>541</v>
      </c>
      <c r="B3" s="598" t="s">
        <v>562</v>
      </c>
      <c r="C3" s="305" t="s">
        <v>540</v>
      </c>
      <c r="D3" s="305" t="s">
        <v>539</v>
      </c>
      <c r="E3" s="305" t="s">
        <v>563</v>
      </c>
      <c r="F3" s="305" t="s">
        <v>538</v>
      </c>
      <c r="G3" s="305" t="s">
        <v>537</v>
      </c>
      <c r="H3" s="305" t="s">
        <v>536</v>
      </c>
      <c r="I3" s="305" t="s">
        <v>535</v>
      </c>
      <c r="J3" s="305" t="s">
        <v>534</v>
      </c>
      <c r="K3" s="595" t="s">
        <v>533</v>
      </c>
      <c r="L3" s="596"/>
      <c r="M3" s="596"/>
      <c r="N3" s="596"/>
      <c r="O3" s="596"/>
      <c r="P3" s="596"/>
      <c r="Q3" s="596"/>
      <c r="R3" s="596"/>
      <c r="S3" s="596"/>
      <c r="T3" s="597"/>
      <c r="U3" s="305" t="s">
        <v>315</v>
      </c>
      <c r="V3" s="304"/>
    </row>
    <row r="4" spans="1:22" s="401" customFormat="1" ht="24.75" customHeight="1" thickBot="1" x14ac:dyDescent="0.25">
      <c r="A4" s="396"/>
      <c r="B4" s="599"/>
      <c r="C4" s="397"/>
      <c r="D4" s="402" t="s">
        <v>532</v>
      </c>
      <c r="E4" s="397"/>
      <c r="F4" s="397"/>
      <c r="G4" s="397"/>
      <c r="H4" s="397"/>
      <c r="I4" s="397" t="s">
        <v>531</v>
      </c>
      <c r="J4" s="397"/>
      <c r="K4" s="398" t="s">
        <v>530</v>
      </c>
      <c r="L4" s="398">
        <v>2016</v>
      </c>
      <c r="M4" s="398">
        <v>2017</v>
      </c>
      <c r="N4" s="398">
        <v>2018</v>
      </c>
      <c r="O4" s="398">
        <v>2019</v>
      </c>
      <c r="P4" s="398">
        <v>2020</v>
      </c>
      <c r="Q4" s="398">
        <v>2021</v>
      </c>
      <c r="R4" s="398">
        <v>2022</v>
      </c>
      <c r="S4" s="398">
        <v>2023</v>
      </c>
      <c r="T4" s="398">
        <v>2024</v>
      </c>
      <c r="U4" s="399"/>
      <c r="V4" s="400"/>
    </row>
    <row r="5" spans="1:22" ht="13.5" thickBot="1" x14ac:dyDescent="0.25"/>
    <row r="6" spans="1:22" ht="25.5" x14ac:dyDescent="0.2">
      <c r="A6" s="302" t="s">
        <v>529</v>
      </c>
      <c r="B6" s="301" t="s">
        <v>476</v>
      </c>
      <c r="C6" s="265" t="s">
        <v>466</v>
      </c>
      <c r="D6" s="300"/>
      <c r="E6" s="299" t="s">
        <v>528</v>
      </c>
      <c r="F6" s="261"/>
      <c r="G6" s="261"/>
      <c r="H6" s="261"/>
      <c r="I6" s="261"/>
      <c r="J6" s="298"/>
      <c r="K6" s="261">
        <f>7763+364+425</f>
        <v>8552</v>
      </c>
      <c r="L6" s="261"/>
      <c r="M6" s="261"/>
      <c r="N6" s="261"/>
      <c r="O6" s="261"/>
      <c r="P6" s="261">
        <v>200</v>
      </c>
      <c r="Q6" s="261">
        <v>850</v>
      </c>
      <c r="R6" s="261">
        <v>73</v>
      </c>
      <c r="S6" s="261">
        <v>270</v>
      </c>
      <c r="T6" s="261"/>
      <c r="U6" s="260"/>
      <c r="V6" s="259"/>
    </row>
    <row r="7" spans="1:22" ht="25.5" x14ac:dyDescent="0.2">
      <c r="A7" s="294" t="s">
        <v>527</v>
      </c>
      <c r="B7" s="296" t="s">
        <v>476</v>
      </c>
      <c r="C7" s="250" t="s">
        <v>466</v>
      </c>
      <c r="D7" s="297"/>
      <c r="E7" s="286" t="s">
        <v>526</v>
      </c>
      <c r="F7" s="246"/>
      <c r="G7" s="246"/>
      <c r="H7" s="246"/>
      <c r="I7" s="246"/>
      <c r="J7" s="253" t="s">
        <v>525</v>
      </c>
      <c r="K7" s="246"/>
      <c r="L7" s="246"/>
      <c r="M7" s="246">
        <v>0</v>
      </c>
      <c r="N7" s="246">
        <v>4</v>
      </c>
      <c r="O7" s="246">
        <v>0</v>
      </c>
      <c r="P7" s="246">
        <v>0</v>
      </c>
      <c r="Q7" s="246">
        <v>0</v>
      </c>
      <c r="R7" s="246">
        <v>0</v>
      </c>
      <c r="S7" s="246">
        <v>150</v>
      </c>
      <c r="T7" s="246"/>
      <c r="U7" s="245"/>
      <c r="V7" s="244" t="s">
        <v>469</v>
      </c>
    </row>
    <row r="8" spans="1:22" ht="25.5" x14ac:dyDescent="0.2">
      <c r="A8" s="294" t="s">
        <v>522</v>
      </c>
      <c r="B8" s="293" t="s">
        <v>473</v>
      </c>
      <c r="C8" s="289" t="s">
        <v>466</v>
      </c>
      <c r="D8" s="292"/>
      <c r="E8" s="286" t="s">
        <v>521</v>
      </c>
      <c r="F8" s="246">
        <v>22848</v>
      </c>
      <c r="G8" s="246"/>
      <c r="H8" s="246">
        <f>F8-I8</f>
        <v>20664</v>
      </c>
      <c r="I8" s="246">
        <f>847+1053+284</f>
        <v>2184</v>
      </c>
      <c r="J8" s="253" t="s">
        <v>520</v>
      </c>
      <c r="K8" s="246"/>
      <c r="L8" s="246"/>
      <c r="M8" s="246"/>
      <c r="N8" s="246">
        <f>1616+2841</f>
        <v>4457</v>
      </c>
      <c r="O8" s="246">
        <v>2462</v>
      </c>
      <c r="P8" s="246">
        <v>2462</v>
      </c>
      <c r="Q8" s="246">
        <v>2462</v>
      </c>
      <c r="R8" s="246">
        <v>2462</v>
      </c>
      <c r="S8" s="246">
        <v>2462</v>
      </c>
      <c r="T8" s="246">
        <v>2462</v>
      </c>
      <c r="U8" s="295"/>
      <c r="V8" s="244" t="s">
        <v>516</v>
      </c>
    </row>
    <row r="9" spans="1:22" ht="25.5" x14ac:dyDescent="0.2">
      <c r="A9" s="294" t="s">
        <v>565</v>
      </c>
      <c r="B9" s="293" t="s">
        <v>473</v>
      </c>
      <c r="C9" s="289" t="s">
        <v>466</v>
      </c>
      <c r="D9" s="292"/>
      <c r="E9" s="286" t="s">
        <v>566</v>
      </c>
      <c r="F9" s="246">
        <v>4660</v>
      </c>
      <c r="G9" s="246"/>
      <c r="H9" s="246">
        <v>4660</v>
      </c>
      <c r="I9" s="246"/>
      <c r="J9" s="253" t="s">
        <v>520</v>
      </c>
      <c r="K9" s="246"/>
      <c r="L9" s="246"/>
      <c r="M9" s="246"/>
      <c r="N9" s="246"/>
      <c r="O9" s="246"/>
      <c r="P9" s="246"/>
      <c r="Q9" s="246"/>
      <c r="R9" s="246"/>
      <c r="S9" s="246">
        <v>4660</v>
      </c>
      <c r="T9" s="246"/>
      <c r="U9" s="295"/>
      <c r="V9" s="244" t="s">
        <v>516</v>
      </c>
    </row>
    <row r="10" spans="1:22" ht="25.5" x14ac:dyDescent="0.2">
      <c r="A10" s="294" t="s">
        <v>320</v>
      </c>
      <c r="B10" s="293" t="s">
        <v>476</v>
      </c>
      <c r="C10" s="289"/>
      <c r="D10" s="292"/>
      <c r="E10" s="286" t="s">
        <v>519</v>
      </c>
      <c r="F10" s="246">
        <v>3660</v>
      </c>
      <c r="G10" s="246"/>
      <c r="H10" s="246">
        <v>3660</v>
      </c>
      <c r="I10" s="246"/>
      <c r="J10" s="253" t="s">
        <v>518</v>
      </c>
      <c r="K10" s="246"/>
      <c r="L10" s="246"/>
      <c r="M10" s="246"/>
      <c r="N10" s="246"/>
      <c r="O10" s="246"/>
      <c r="P10" s="246"/>
      <c r="Q10" s="246">
        <v>1830</v>
      </c>
      <c r="R10" s="246">
        <f>H10-Q10</f>
        <v>1830</v>
      </c>
      <c r="S10" s="246"/>
      <c r="T10" s="246"/>
      <c r="U10" s="291" t="s">
        <v>517</v>
      </c>
      <c r="V10" s="244" t="s">
        <v>516</v>
      </c>
    </row>
    <row r="11" spans="1:22" ht="19.5" x14ac:dyDescent="0.2">
      <c r="A11" s="252" t="s">
        <v>508</v>
      </c>
      <c r="B11" s="251" t="s">
        <v>476</v>
      </c>
      <c r="C11" s="250" t="s">
        <v>507</v>
      </c>
      <c r="D11" s="287"/>
      <c r="E11" s="286" t="s">
        <v>497</v>
      </c>
      <c r="F11" s="246">
        <v>50000</v>
      </c>
      <c r="G11" s="246"/>
      <c r="H11" s="246"/>
      <c r="I11" s="246"/>
      <c r="J11" s="253" t="s">
        <v>506</v>
      </c>
      <c r="K11" s="246"/>
      <c r="L11" s="246"/>
      <c r="M11" s="246"/>
      <c r="N11" s="246"/>
      <c r="O11" s="246"/>
      <c r="P11" s="246">
        <v>2500</v>
      </c>
      <c r="Q11" s="246"/>
      <c r="R11" s="246"/>
      <c r="S11" s="246"/>
      <c r="T11" s="246"/>
      <c r="U11" s="245"/>
      <c r="V11" s="244"/>
    </row>
    <row r="12" spans="1:22" ht="25.5" x14ac:dyDescent="0.2">
      <c r="A12" s="252" t="s">
        <v>505</v>
      </c>
      <c r="B12" s="251" t="s">
        <v>476</v>
      </c>
      <c r="C12" s="289" t="s">
        <v>466</v>
      </c>
      <c r="D12" s="287"/>
      <c r="E12" s="286" t="s">
        <v>497</v>
      </c>
      <c r="F12" s="246">
        <v>45000</v>
      </c>
      <c r="G12" s="246"/>
      <c r="H12" s="246"/>
      <c r="I12" s="246"/>
      <c r="J12" s="253" t="s">
        <v>502</v>
      </c>
      <c r="K12" s="246"/>
      <c r="L12" s="246"/>
      <c r="M12" s="246"/>
      <c r="N12" s="246"/>
      <c r="O12" s="246"/>
      <c r="P12" s="246"/>
      <c r="Q12" s="246">
        <v>695</v>
      </c>
      <c r="R12" s="246">
        <v>379</v>
      </c>
      <c r="S12" s="246">
        <v>100</v>
      </c>
      <c r="T12" s="246"/>
      <c r="U12" s="245"/>
      <c r="V12" s="244" t="s">
        <v>469</v>
      </c>
    </row>
    <row r="13" spans="1:22" ht="38.25" x14ac:dyDescent="0.2">
      <c r="A13" s="252" t="s">
        <v>504</v>
      </c>
      <c r="B13" s="251" t="s">
        <v>476</v>
      </c>
      <c r="C13" s="289" t="s">
        <v>466</v>
      </c>
      <c r="D13" s="287"/>
      <c r="E13" s="286" t="s">
        <v>503</v>
      </c>
      <c r="F13" s="246">
        <v>34000</v>
      </c>
      <c r="G13" s="246"/>
      <c r="H13" s="246"/>
      <c r="I13" s="246"/>
      <c r="J13" s="253" t="s">
        <v>502</v>
      </c>
      <c r="K13" s="246"/>
      <c r="L13" s="246"/>
      <c r="M13" s="246"/>
      <c r="N13" s="246"/>
      <c r="O13" s="246"/>
      <c r="P13" s="246"/>
      <c r="Q13" s="246">
        <v>587</v>
      </c>
      <c r="R13" s="246"/>
      <c r="S13" s="246">
        <v>700</v>
      </c>
      <c r="T13" s="246"/>
      <c r="U13" s="245"/>
      <c r="V13" s="244" t="s">
        <v>469</v>
      </c>
    </row>
    <row r="14" spans="1:22" ht="25.5" x14ac:dyDescent="0.2">
      <c r="A14" s="252" t="s">
        <v>501</v>
      </c>
      <c r="B14" s="251" t="s">
        <v>473</v>
      </c>
      <c r="C14" s="289" t="s">
        <v>466</v>
      </c>
      <c r="D14" s="290" t="s">
        <v>481</v>
      </c>
      <c r="E14" s="248" t="s">
        <v>465</v>
      </c>
      <c r="F14" s="246">
        <v>906</v>
      </c>
      <c r="G14" s="246">
        <v>772</v>
      </c>
      <c r="H14" s="246">
        <v>134</v>
      </c>
      <c r="I14" s="246"/>
      <c r="J14" s="253">
        <v>2022</v>
      </c>
      <c r="K14" s="246"/>
      <c r="L14" s="246"/>
      <c r="M14" s="246"/>
      <c r="N14" s="246"/>
      <c r="O14" s="246"/>
      <c r="P14" s="246"/>
      <c r="Q14" s="246"/>
      <c r="R14" s="246">
        <v>906</v>
      </c>
      <c r="S14" s="246">
        <v>-772</v>
      </c>
      <c r="T14" s="246"/>
      <c r="U14" s="245" t="s">
        <v>500</v>
      </c>
      <c r="V14" s="244" t="s">
        <v>499</v>
      </c>
    </row>
    <row r="15" spans="1:22" ht="25.5" x14ac:dyDescent="0.2">
      <c r="A15" s="252" t="s">
        <v>567</v>
      </c>
      <c r="B15" s="251" t="s">
        <v>476</v>
      </c>
      <c r="C15" s="289" t="s">
        <v>466</v>
      </c>
      <c r="D15" s="287" t="s">
        <v>472</v>
      </c>
      <c r="E15" s="286" t="s">
        <v>498</v>
      </c>
      <c r="F15" s="246">
        <f>31294+2000+200</f>
        <v>33494</v>
      </c>
      <c r="G15" s="246"/>
      <c r="H15" s="246">
        <f>22535+2000+200</f>
        <v>24735</v>
      </c>
      <c r="I15" s="246">
        <v>8759</v>
      </c>
      <c r="J15" s="253">
        <v>2023</v>
      </c>
      <c r="K15" s="246"/>
      <c r="L15" s="246"/>
      <c r="M15" s="246"/>
      <c r="N15" s="246"/>
      <c r="O15" s="246"/>
      <c r="P15" s="246"/>
      <c r="Q15" s="246"/>
      <c r="R15" s="246"/>
      <c r="S15" s="246">
        <v>24200</v>
      </c>
      <c r="T15" s="246"/>
      <c r="U15" s="245"/>
      <c r="V15" s="244" t="s">
        <v>469</v>
      </c>
    </row>
    <row r="16" spans="1:22" ht="25.5" x14ac:dyDescent="0.2">
      <c r="A16" s="252" t="s">
        <v>283</v>
      </c>
      <c r="B16" s="288" t="s">
        <v>467</v>
      </c>
      <c r="C16" s="250" t="s">
        <v>466</v>
      </c>
      <c r="D16" s="287"/>
      <c r="E16" s="286" t="s">
        <v>497</v>
      </c>
      <c r="F16" s="246">
        <f>23415+296+51+38</f>
        <v>23800</v>
      </c>
      <c r="G16" s="246"/>
      <c r="H16" s="246"/>
      <c r="I16" s="246"/>
      <c r="J16" s="253" t="s">
        <v>496</v>
      </c>
      <c r="K16" s="246"/>
      <c r="L16" s="246"/>
      <c r="M16" s="246"/>
      <c r="N16" s="246"/>
      <c r="O16" s="246">
        <v>296</v>
      </c>
      <c r="P16" s="246"/>
      <c r="Q16" s="246">
        <v>51</v>
      </c>
      <c r="R16" s="246">
        <v>38</v>
      </c>
      <c r="S16" s="246">
        <v>8800</v>
      </c>
      <c r="T16" s="246">
        <v>15000</v>
      </c>
      <c r="U16" s="256"/>
      <c r="V16" s="244" t="s">
        <v>463</v>
      </c>
    </row>
    <row r="17" spans="1:22" ht="25.5" x14ac:dyDescent="0.2">
      <c r="A17" s="252" t="s">
        <v>550</v>
      </c>
      <c r="B17" s="288" t="s">
        <v>467</v>
      </c>
      <c r="C17" s="250" t="s">
        <v>466</v>
      </c>
      <c r="D17" s="287"/>
      <c r="E17" s="286" t="s">
        <v>498</v>
      </c>
      <c r="F17" s="246">
        <v>8220</v>
      </c>
      <c r="G17" s="246">
        <v>2870</v>
      </c>
      <c r="H17" s="246">
        <f>F17-G17</f>
        <v>5350</v>
      </c>
      <c r="I17" s="246"/>
      <c r="J17" s="253" t="s">
        <v>523</v>
      </c>
      <c r="K17" s="246"/>
      <c r="L17" s="246"/>
      <c r="M17" s="246"/>
      <c r="N17" s="246"/>
      <c r="O17" s="246"/>
      <c r="P17" s="246"/>
      <c r="Q17" s="246"/>
      <c r="R17" s="246">
        <f>-1870+4374</f>
        <v>2504</v>
      </c>
      <c r="S17" s="246">
        <f>-300-700+3850</f>
        <v>2850</v>
      </c>
      <c r="T17" s="246"/>
      <c r="U17" s="256"/>
      <c r="V17" s="244" t="s">
        <v>478</v>
      </c>
    </row>
    <row r="18" spans="1:22" ht="30" thickBot="1" x14ac:dyDescent="0.25">
      <c r="A18" s="243" t="s">
        <v>447</v>
      </c>
      <c r="B18" s="242" t="s">
        <v>467</v>
      </c>
      <c r="C18" s="285" t="s">
        <v>466</v>
      </c>
      <c r="D18" s="284"/>
      <c r="E18" s="239" t="s">
        <v>495</v>
      </c>
      <c r="F18" s="237">
        <v>8670</v>
      </c>
      <c r="G18" s="237">
        <v>6118</v>
      </c>
      <c r="H18" s="237">
        <v>2552</v>
      </c>
      <c r="I18" s="237"/>
      <c r="J18" s="238">
        <v>2023</v>
      </c>
      <c r="K18" s="237"/>
      <c r="L18" s="237"/>
      <c r="M18" s="237"/>
      <c r="N18" s="237"/>
      <c r="O18" s="237"/>
      <c r="P18" s="237"/>
      <c r="Q18" s="237"/>
      <c r="R18" s="237"/>
      <c r="S18" s="237">
        <v>8670</v>
      </c>
      <c r="T18" s="237"/>
      <c r="U18" s="236"/>
      <c r="V18" s="235" t="s">
        <v>469</v>
      </c>
    </row>
    <row r="19" spans="1:22" s="275" customFormat="1" ht="17.25" customHeight="1" thickBot="1" x14ac:dyDescent="0.25">
      <c r="A19" s="283" t="s">
        <v>494</v>
      </c>
      <c r="B19" s="282"/>
      <c r="C19" s="281"/>
      <c r="D19" s="281"/>
      <c r="E19" s="281"/>
      <c r="F19" s="280">
        <f t="shared" ref="F19:T19" si="0">SUM(F5:F18)</f>
        <v>235258</v>
      </c>
      <c r="G19" s="280">
        <f t="shared" si="0"/>
        <v>9760</v>
      </c>
      <c r="H19" s="280">
        <f t="shared" si="0"/>
        <v>61755</v>
      </c>
      <c r="I19" s="280">
        <f t="shared" si="0"/>
        <v>10943</v>
      </c>
      <c r="J19" s="280">
        <f t="shared" si="0"/>
        <v>6068</v>
      </c>
      <c r="K19" s="280">
        <f t="shared" si="0"/>
        <v>8552</v>
      </c>
      <c r="L19" s="280">
        <f t="shared" si="0"/>
        <v>0</v>
      </c>
      <c r="M19" s="280">
        <f t="shared" si="0"/>
        <v>0</v>
      </c>
      <c r="N19" s="280">
        <f t="shared" si="0"/>
        <v>4461</v>
      </c>
      <c r="O19" s="280">
        <f t="shared" si="0"/>
        <v>2758</v>
      </c>
      <c r="P19" s="280">
        <f t="shared" si="0"/>
        <v>5162</v>
      </c>
      <c r="Q19" s="280">
        <f t="shared" si="0"/>
        <v>6475</v>
      </c>
      <c r="R19" s="280">
        <f t="shared" si="0"/>
        <v>8192</v>
      </c>
      <c r="S19" s="280">
        <f t="shared" si="0"/>
        <v>52090</v>
      </c>
      <c r="T19" s="280">
        <f t="shared" si="0"/>
        <v>17462</v>
      </c>
      <c r="U19" s="279"/>
      <c r="V19" s="278"/>
    </row>
    <row r="20" spans="1:22" s="275" customFormat="1" ht="17.25" customHeight="1" thickBot="1" x14ac:dyDescent="0.25"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6"/>
    </row>
    <row r="21" spans="1:22" ht="26.25" customHeight="1" thickBot="1" x14ac:dyDescent="0.25">
      <c r="A21" s="274" t="s">
        <v>564</v>
      </c>
      <c r="B21" s="273"/>
      <c r="C21" s="271"/>
      <c r="D21" s="271"/>
      <c r="E21" s="272" t="s">
        <v>193</v>
      </c>
      <c r="F21" s="272" t="s">
        <v>493</v>
      </c>
      <c r="G21" s="272" t="s">
        <v>492</v>
      </c>
      <c r="H21" s="272" t="s">
        <v>491</v>
      </c>
      <c r="I21" s="271"/>
      <c r="J21" s="271"/>
      <c r="K21" s="270">
        <v>2015</v>
      </c>
      <c r="L21" s="270">
        <v>2016</v>
      </c>
      <c r="M21" s="270">
        <v>2017</v>
      </c>
      <c r="N21" s="270">
        <v>2018</v>
      </c>
      <c r="O21" s="270">
        <v>2019</v>
      </c>
      <c r="P21" s="270">
        <v>2020</v>
      </c>
      <c r="Q21" s="270">
        <v>2021</v>
      </c>
      <c r="R21" s="270">
        <v>2022</v>
      </c>
      <c r="S21" s="270">
        <v>2023</v>
      </c>
      <c r="T21" s="270">
        <v>2024</v>
      </c>
      <c r="U21" s="269"/>
      <c r="V21" s="268"/>
    </row>
    <row r="22" spans="1:22" ht="33.75" x14ac:dyDescent="0.2">
      <c r="A22" s="267" t="s">
        <v>490</v>
      </c>
      <c r="B22" s="266" t="s">
        <v>476</v>
      </c>
      <c r="C22" s="265" t="s">
        <v>466</v>
      </c>
      <c r="D22" s="264" t="s">
        <v>489</v>
      </c>
      <c r="E22" s="263" t="s">
        <v>480</v>
      </c>
      <c r="F22" s="261">
        <f>SUM(K22:P22)</f>
        <v>27906</v>
      </c>
      <c r="G22" s="261"/>
      <c r="H22" s="261">
        <f>F22-I22</f>
        <v>27906</v>
      </c>
      <c r="I22" s="261"/>
      <c r="J22" s="262" t="s">
        <v>488</v>
      </c>
      <c r="K22" s="261">
        <v>538</v>
      </c>
      <c r="L22" s="261">
        <v>4972</v>
      </c>
      <c r="M22" s="261">
        <v>3115</v>
      </c>
      <c r="N22" s="261">
        <v>2028</v>
      </c>
      <c r="O22" s="261">
        <v>17053</v>
      </c>
      <c r="P22" s="261">
        <v>200</v>
      </c>
      <c r="Q22" s="261"/>
      <c r="R22" s="261"/>
      <c r="S22" s="261"/>
      <c r="T22" s="261"/>
      <c r="U22" s="260" t="s">
        <v>487</v>
      </c>
      <c r="V22" s="259" t="s">
        <v>469</v>
      </c>
    </row>
    <row r="23" spans="1:22" ht="25.5" x14ac:dyDescent="0.2">
      <c r="A23" s="252" t="s">
        <v>486</v>
      </c>
      <c r="B23" s="251" t="s">
        <v>476</v>
      </c>
      <c r="C23" s="250" t="s">
        <v>466</v>
      </c>
      <c r="D23" s="258" t="s">
        <v>485</v>
      </c>
      <c r="E23" s="257" t="s">
        <v>480</v>
      </c>
      <c r="F23" s="246">
        <f>7143+744</f>
        <v>7887</v>
      </c>
      <c r="G23" s="246">
        <v>5464</v>
      </c>
      <c r="H23" s="246">
        <f>F23-G23</f>
        <v>2423</v>
      </c>
      <c r="I23" s="246"/>
      <c r="J23" s="247" t="s">
        <v>484</v>
      </c>
      <c r="K23" s="246">
        <v>10</v>
      </c>
      <c r="L23" s="246">
        <v>70</v>
      </c>
      <c r="M23" s="246">
        <v>0</v>
      </c>
      <c r="N23" s="246">
        <v>54</v>
      </c>
      <c r="O23" s="246">
        <v>7009</v>
      </c>
      <c r="P23" s="246">
        <f>H23-K23-L23-M23-N23-O23</f>
        <v>-4720</v>
      </c>
      <c r="Q23" s="246"/>
      <c r="R23" s="246"/>
      <c r="S23" s="246"/>
      <c r="T23" s="246"/>
      <c r="U23" s="245"/>
      <c r="V23" s="244" t="s">
        <v>483</v>
      </c>
    </row>
    <row r="24" spans="1:22" ht="25.5" x14ac:dyDescent="0.2">
      <c r="A24" s="252" t="s">
        <v>482</v>
      </c>
      <c r="B24" s="251" t="s">
        <v>476</v>
      </c>
      <c r="C24" s="250" t="s">
        <v>466</v>
      </c>
      <c r="D24" s="258" t="s">
        <v>481</v>
      </c>
      <c r="E24" s="257" t="s">
        <v>480</v>
      </c>
      <c r="F24" s="246">
        <v>4727</v>
      </c>
      <c r="G24" s="246">
        <v>3713</v>
      </c>
      <c r="H24" s="246">
        <f>SUM(O24:Q24)</f>
        <v>1014</v>
      </c>
      <c r="I24" s="246"/>
      <c r="J24" s="247" t="s">
        <v>479</v>
      </c>
      <c r="K24" s="246"/>
      <c r="L24" s="246"/>
      <c r="M24" s="246"/>
      <c r="N24" s="246"/>
      <c r="O24" s="246">
        <v>147</v>
      </c>
      <c r="P24" s="246">
        <v>3628</v>
      </c>
      <c r="Q24" s="246">
        <f>952-3713</f>
        <v>-2761</v>
      </c>
      <c r="R24" s="246"/>
      <c r="S24" s="246"/>
      <c r="T24" s="246"/>
      <c r="U24" s="256"/>
      <c r="V24" s="244" t="s">
        <v>478</v>
      </c>
    </row>
    <row r="25" spans="1:22" ht="25.5" x14ac:dyDescent="0.2">
      <c r="A25" s="252" t="s">
        <v>511</v>
      </c>
      <c r="B25" s="251" t="s">
        <v>476</v>
      </c>
      <c r="C25" s="250" t="s">
        <v>466</v>
      </c>
      <c r="D25" s="287" t="s">
        <v>510</v>
      </c>
      <c r="E25" s="286" t="s">
        <v>465</v>
      </c>
      <c r="F25" s="246">
        <f>74+983</f>
        <v>1057</v>
      </c>
      <c r="G25" s="246">
        <v>632</v>
      </c>
      <c r="H25" s="246">
        <v>425</v>
      </c>
      <c r="I25" s="246"/>
      <c r="J25" s="253" t="s">
        <v>509</v>
      </c>
      <c r="K25" s="246"/>
      <c r="L25" s="246"/>
      <c r="M25" s="246"/>
      <c r="N25" s="246"/>
      <c r="O25" s="246"/>
      <c r="P25" s="246">
        <v>74</v>
      </c>
      <c r="Q25" s="246">
        <f>893-663</f>
        <v>230</v>
      </c>
      <c r="R25" s="246"/>
      <c r="S25" s="246"/>
      <c r="T25" s="246"/>
      <c r="U25" s="256"/>
      <c r="V25" s="244" t="s">
        <v>499</v>
      </c>
    </row>
    <row r="26" spans="1:22" ht="29.25" x14ac:dyDescent="0.2">
      <c r="A26" s="252" t="s">
        <v>515</v>
      </c>
      <c r="B26" s="251" t="s">
        <v>473</v>
      </c>
      <c r="C26" s="250" t="s">
        <v>466</v>
      </c>
      <c r="D26" s="287" t="s">
        <v>514</v>
      </c>
      <c r="E26" s="248" t="s">
        <v>465</v>
      </c>
      <c r="F26" s="246">
        <v>18700</v>
      </c>
      <c r="G26" s="246">
        <f>11170+2735</f>
        <v>13905</v>
      </c>
      <c r="H26" s="246">
        <f>F26-G26</f>
        <v>4795</v>
      </c>
      <c r="I26" s="246"/>
      <c r="J26" s="253" t="s">
        <v>513</v>
      </c>
      <c r="K26" s="246"/>
      <c r="L26" s="246"/>
      <c r="M26" s="246"/>
      <c r="N26" s="246"/>
      <c r="O26" s="246">
        <v>4885</v>
      </c>
      <c r="P26" s="246">
        <f>9815+4000</f>
        <v>13815</v>
      </c>
      <c r="Q26" s="246">
        <v>-13905</v>
      </c>
      <c r="R26" s="246"/>
      <c r="S26" s="246"/>
      <c r="T26" s="246"/>
      <c r="U26" s="256" t="s">
        <v>512</v>
      </c>
      <c r="V26" s="244" t="s">
        <v>478</v>
      </c>
    </row>
    <row r="27" spans="1:22" ht="25.5" x14ac:dyDescent="0.2">
      <c r="A27" s="255" t="s">
        <v>477</v>
      </c>
      <c r="B27" s="251" t="s">
        <v>476</v>
      </c>
      <c r="C27" s="250" t="s">
        <v>466</v>
      </c>
      <c r="D27" s="254"/>
      <c r="E27" s="248" t="s">
        <v>465</v>
      </c>
      <c r="F27" s="246">
        <v>28113</v>
      </c>
      <c r="G27" s="246"/>
      <c r="H27" s="246">
        <f>F27-I27</f>
        <v>15713</v>
      </c>
      <c r="I27" s="246">
        <v>12400</v>
      </c>
      <c r="J27" s="253" t="s">
        <v>475</v>
      </c>
      <c r="K27" s="246">
        <v>118</v>
      </c>
      <c r="L27" s="246">
        <v>0</v>
      </c>
      <c r="M27" s="246">
        <v>252</v>
      </c>
      <c r="N27" s="246">
        <v>93</v>
      </c>
      <c r="O27" s="246">
        <v>-6359</v>
      </c>
      <c r="P27" s="246">
        <v>8006</v>
      </c>
      <c r="Q27" s="246">
        <v>9228</v>
      </c>
      <c r="R27" s="246">
        <v>4235</v>
      </c>
      <c r="S27" s="246">
        <v>140</v>
      </c>
      <c r="T27" s="246"/>
      <c r="U27" s="245"/>
      <c r="V27" s="244" t="s">
        <v>469</v>
      </c>
    </row>
    <row r="28" spans="1:22" ht="25.5" x14ac:dyDescent="0.2">
      <c r="A28" s="252" t="s">
        <v>474</v>
      </c>
      <c r="B28" s="251" t="s">
        <v>473</v>
      </c>
      <c r="C28" s="250" t="s">
        <v>466</v>
      </c>
      <c r="D28" s="249" t="s">
        <v>472</v>
      </c>
      <c r="E28" s="248" t="s">
        <v>465</v>
      </c>
      <c r="F28" s="246">
        <f>18586+1500+600+478+24583+1800+103</f>
        <v>47650</v>
      </c>
      <c r="G28" s="246"/>
      <c r="H28" s="246">
        <f>F28-I28</f>
        <v>27025</v>
      </c>
      <c r="I28" s="246">
        <f>7966+32+12627</f>
        <v>20625</v>
      </c>
      <c r="J28" s="247" t="s">
        <v>471</v>
      </c>
      <c r="K28" s="246"/>
      <c r="L28" s="246"/>
      <c r="M28" s="246"/>
      <c r="N28" s="246"/>
      <c r="O28" s="246">
        <v>478</v>
      </c>
      <c r="P28" s="246">
        <v>12187</v>
      </c>
      <c r="Q28" s="246">
        <v>13744</v>
      </c>
      <c r="R28" s="246">
        <v>566</v>
      </c>
      <c r="S28" s="246">
        <v>50</v>
      </c>
      <c r="T28" s="246"/>
      <c r="U28" s="245" t="s">
        <v>470</v>
      </c>
      <c r="V28" s="244" t="s">
        <v>469</v>
      </c>
    </row>
    <row r="29" spans="1:22" ht="25.5" x14ac:dyDescent="0.2">
      <c r="A29" s="252" t="s">
        <v>468</v>
      </c>
      <c r="B29" s="288" t="s">
        <v>467</v>
      </c>
      <c r="C29" s="250" t="s">
        <v>466</v>
      </c>
      <c r="D29" s="249"/>
      <c r="E29" s="248" t="s">
        <v>465</v>
      </c>
      <c r="F29" s="246">
        <f>4718+336</f>
        <v>5054</v>
      </c>
      <c r="G29" s="246"/>
      <c r="H29" s="246">
        <f>F29-I29</f>
        <v>4718</v>
      </c>
      <c r="I29" s="246">
        <v>336</v>
      </c>
      <c r="J29" s="253" t="s">
        <v>464</v>
      </c>
      <c r="K29" s="246"/>
      <c r="L29" s="246"/>
      <c r="M29" s="246"/>
      <c r="N29" s="246"/>
      <c r="O29" s="246"/>
      <c r="P29" s="246">
        <v>2967</v>
      </c>
      <c r="Q29" s="246">
        <v>144</v>
      </c>
      <c r="R29" s="246">
        <f>1943-336</f>
        <v>1607</v>
      </c>
      <c r="S29" s="246"/>
      <c r="T29" s="246"/>
      <c r="U29" s="256"/>
      <c r="V29" s="244" t="s">
        <v>463</v>
      </c>
    </row>
    <row r="30" spans="1:22" ht="26.25" thickBot="1" x14ac:dyDescent="0.25">
      <c r="A30" s="243" t="s">
        <v>524</v>
      </c>
      <c r="B30" s="329" t="s">
        <v>473</v>
      </c>
      <c r="C30" s="241" t="s">
        <v>466</v>
      </c>
      <c r="D30" s="240" t="s">
        <v>472</v>
      </c>
      <c r="E30" s="239" t="s">
        <v>498</v>
      </c>
      <c r="F30" s="237">
        <f>16218+2800+1803-242</f>
        <v>20579</v>
      </c>
      <c r="G30" s="237"/>
      <c r="H30" s="237">
        <f>F30-I30</f>
        <v>12157</v>
      </c>
      <c r="I30" s="237">
        <v>8422</v>
      </c>
      <c r="J30" s="238" t="s">
        <v>523</v>
      </c>
      <c r="K30" s="237"/>
      <c r="L30" s="237"/>
      <c r="M30" s="237"/>
      <c r="N30" s="237"/>
      <c r="O30" s="237"/>
      <c r="P30" s="237"/>
      <c r="Q30" s="237"/>
      <c r="R30" s="237">
        <v>12107</v>
      </c>
      <c r="S30" s="237">
        <v>50</v>
      </c>
      <c r="T30" s="237"/>
      <c r="U30" s="330" t="s">
        <v>470</v>
      </c>
      <c r="V30" s="235" t="s">
        <v>469</v>
      </c>
    </row>
    <row r="31" spans="1:22" x14ac:dyDescent="0.2">
      <c r="A31" s="234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</sheetData>
  <mergeCells count="2">
    <mergeCell ref="K3:T3"/>
    <mergeCell ref="B3:B4"/>
  </mergeCells>
  <printOptions horizontalCentered="1" verticalCentered="1"/>
  <pageMargins left="0.15748031496062992" right="0.15748031496062992" top="0.43307086614173229" bottom="0.78740157480314965" header="0.31496062992125984" footer="0.31496062992125984"/>
  <pageSetup paperSize="9" scale="82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sumář</vt:lpstr>
      <vt:lpstr>příjmy</vt:lpstr>
      <vt:lpstr>výdaje</vt:lpstr>
      <vt:lpstr>okruhy rozpočtu 2023</vt:lpstr>
      <vt:lpstr>Závazné ukazatele 2023</vt:lpstr>
      <vt:lpstr>Projekty</vt:lpstr>
      <vt:lpstr>příjmy!Názvy_tisku</vt:lpstr>
      <vt:lpstr>výdaje!Názvy_tisku</vt:lpstr>
      <vt:lpstr>Projekty!Oblast_tisku</vt:lpstr>
      <vt:lpstr>příjmy!Oblast_tisku</vt:lpstr>
      <vt:lpstr>sumář!Oblast_tisku</vt:lpstr>
      <vt:lpstr>výdaje!Oblast_tisku</vt:lpstr>
    </vt:vector>
  </TitlesOfParts>
  <Company>Jilemnice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Trojanová Hana, Ing.</cp:lastModifiedBy>
  <cp:lastPrinted>2023-02-06T08:41:01Z</cp:lastPrinted>
  <dcterms:created xsi:type="dcterms:W3CDTF">1999-02-03T10:11:29Z</dcterms:created>
  <dcterms:modified xsi:type="dcterms:W3CDTF">2023-02-15T15:58:05Z</dcterms:modified>
</cp:coreProperties>
</file>