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+++Bělkovice+++\VCP\D2\"/>
    </mc:Choice>
  </mc:AlternateContent>
  <xr:revisionPtr revIDLastSave="0" documentId="13_ncr:1_{6067082F-890C-4CD9-9313-89D20F991A8F}" xr6:coauthVersionLast="47" xr6:coauthVersionMax="47" xr10:uidLastSave="{00000000-0000-0000-0000-000000000000}"/>
  <bookViews>
    <workbookView xWindow="-110" yWindow="-110" windowWidth="19420" windowHeight="11020" firstSheet="2" activeTab="4" xr2:uid="{4F5C78B2-A7CF-48CE-AFDF-76836E1FD723}"/>
  </bookViews>
  <sheets>
    <sheet name="Rekapitulace" sheetId="2" r:id="rId1"/>
    <sheet name="KOI011 - SO 101 Veřejné p..." sheetId="10" r:id="rId2"/>
    <sheet name="KOI012 - SO 102 Stavební ..." sheetId="11" r:id="rId3"/>
    <sheet name="KOI013 - SO 301 Odvodnění..." sheetId="12" r:id="rId4"/>
    <sheet name="SO 302 Retenční nádrže" sheetId="13" r:id="rId5"/>
    <sheet name="SO 303 Retenční nádrže u sokolo" sheetId="14" r:id="rId6"/>
    <sheet name="SO 701 Objekty pozemních staveb" sheetId="3" r:id="rId7"/>
    <sheet name="SO 720 Objekty pozemních staveb" sheetId="4" r:id="rId8"/>
    <sheet name="SO 801 Sadové úpravy" sheetId="5" r:id="rId9"/>
    <sheet name="SO 102 Stavební úpravy místní k" sheetId="6" r:id="rId10"/>
    <sheet name="Silnoproudá elektrotechnika" sheetId="7" r:id="rId11"/>
    <sheet name="Slaboproudá elektrotechnika" sheetId="8" r:id="rId12"/>
    <sheet name="SO 701 Objekty podium" sheetId="9" r:id="rId13"/>
    <sheet name="VRN" sheetId="1" r:id="rId14"/>
    <sheet name="VCP" sheetId="16" r:id="rId15"/>
  </sheets>
  <definedNames>
    <definedName name="_xlnm._FilterDatabase" localSheetId="1" hidden="1">'KOI011 - SO 101 Veřejné p...'!$K$1:$K$279</definedName>
    <definedName name="_xlnm._FilterDatabase" localSheetId="2" hidden="1">'KOI012 - SO 102 Stavební ...'!$L$1:$L$196</definedName>
    <definedName name="_xlnm._FilterDatabase" localSheetId="3" hidden="1">'KOI013 - SO 301 Odvodnění...'!$K$1:$K$142</definedName>
    <definedName name="_xlnm._FilterDatabase" localSheetId="9" hidden="1">'SO 102 Stavební úpravy místní k'!$K$2:$K$49</definedName>
    <definedName name="_xlnm._FilterDatabase" localSheetId="4" hidden="1">'SO 302 Retenční nádrže'!$K$2:$K$90</definedName>
    <definedName name="_xlnm._FilterDatabase" localSheetId="5" hidden="1">'SO 303 Retenční nádrže u sokolo'!$K$2:$K$89</definedName>
    <definedName name="_xlnm._FilterDatabase" localSheetId="6" hidden="1">'SO 701 Objekty pozemních staveb'!$K$2:$K$36</definedName>
    <definedName name="_xlnm._FilterDatabase" localSheetId="8" hidden="1">'SO 801 Sadové úpravy'!$K$2:$K$169</definedName>
    <definedName name="_xlnm.Print_Area" localSheetId="1">'KOI011 - SO 101 Veřejné p...'!$A$1:$L$96</definedName>
    <definedName name="_xlnm.Print_Area" localSheetId="2">'KOI012 - SO 102 Stavební ...'!$A$1:$N$97</definedName>
    <definedName name="_xlnm.Print_Area" localSheetId="3">'KOI013 - SO 301 Odvodnění...'!$A$1:$L$36</definedName>
    <definedName name="_xlnm.Print_Area" localSheetId="0">Rekapitulace!$A$1:$AN$25</definedName>
    <definedName name="_xlnm.Print_Area" localSheetId="10">'Silnoproudá elektrotechnika'!$A$1:$L$75</definedName>
    <definedName name="_xlnm.Print_Area" localSheetId="11">'Slaboproudá elektrotechnika'!$A$1:$L$31</definedName>
    <definedName name="_xlnm.Print_Area" localSheetId="9">'SO 102 Stavební úpravy místní k'!$B$1:$L$48</definedName>
    <definedName name="_xlnm.Print_Area" localSheetId="4">'SO 302 Retenční nádrže'!$A$1:$L$89</definedName>
    <definedName name="_xlnm.Print_Area" localSheetId="5">'SO 303 Retenční nádrže u sokolo'!$A$1:$L$89</definedName>
    <definedName name="_xlnm.Print_Area" localSheetId="12">'SO 701 Objekty podium'!$A$1:$L$23</definedName>
    <definedName name="_xlnm.Print_Area" localSheetId="6">'SO 701 Objekty pozemních staveb'!$A$1:$L$36</definedName>
    <definedName name="_xlnm.Print_Area" localSheetId="7">'SO 720 Objekty pozemních staveb'!$A$1:$L$128</definedName>
    <definedName name="_xlnm.Print_Area" localSheetId="8">'SO 801 Sadové úpravy'!$A$1:$L$167</definedName>
    <definedName name="_xlnm.Print_Area" localSheetId="14">VCP!$B$1:$J$63</definedName>
    <definedName name="_xlnm.Print_Area" localSheetId="13">VRN!$A$1:$J$32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7" i="11" l="1"/>
  <c r="Q97" i="11"/>
  <c r="L18" i="5"/>
  <c r="L94" i="10" l="1"/>
  <c r="J94" i="11"/>
  <c r="J93" i="11"/>
  <c r="L68" i="7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64" i="13"/>
  <c r="N84" i="11"/>
  <c r="AD27" i="2"/>
  <c r="AO12" i="2"/>
  <c r="L19" i="14"/>
  <c r="L29" i="3"/>
  <c r="L19" i="3"/>
  <c r="L20" i="12"/>
  <c r="L97" i="10" l="1"/>
  <c r="L102" i="11"/>
  <c r="M102" i="11"/>
  <c r="N102" i="11"/>
  <c r="I57" i="10"/>
  <c r="I61" i="10"/>
  <c r="J67" i="11"/>
  <c r="J68" i="11" s="1"/>
  <c r="J43" i="11"/>
  <c r="J45" i="11"/>
  <c r="J42" i="11"/>
  <c r="I62" i="10"/>
  <c r="H63" i="10"/>
  <c r="J54" i="11" l="1"/>
  <c r="I57" i="11"/>
  <c r="J85" i="11"/>
  <c r="J86" i="11"/>
  <c r="I87" i="11"/>
  <c r="J46" i="11"/>
  <c r="J55" i="11"/>
  <c r="I60" i="10"/>
  <c r="I50" i="10"/>
  <c r="N101" i="11"/>
  <c r="M101" i="11"/>
  <c r="L101" i="11"/>
  <c r="N100" i="11"/>
  <c r="M100" i="11"/>
  <c r="L100" i="11"/>
  <c r="N99" i="11"/>
  <c r="M99" i="11"/>
  <c r="L99" i="11"/>
  <c r="L96" i="10"/>
  <c r="L94" i="13"/>
  <c r="L92" i="13"/>
  <c r="V91" i="13" l="1"/>
  <c r="S91" i="13"/>
  <c r="Q91" i="13"/>
  <c r="O91" i="13"/>
  <c r="K91" i="13"/>
  <c r="L29" i="13"/>
  <c r="L22" i="13"/>
  <c r="J31" i="11"/>
  <c r="N31" i="11" s="1"/>
  <c r="J26" i="11"/>
  <c r="I82" i="10"/>
  <c r="I75" i="10"/>
  <c r="I70" i="10"/>
  <c r="I69" i="10"/>
  <c r="L56" i="13"/>
  <c r="L55" i="13"/>
  <c r="L38" i="13"/>
  <c r="J40" i="11"/>
  <c r="J39" i="11"/>
  <c r="I40" i="11"/>
  <c r="I39" i="11"/>
  <c r="I34" i="11"/>
  <c r="J90" i="11"/>
  <c r="N90" i="11" s="1"/>
  <c r="J83" i="11"/>
  <c r="N97" i="11"/>
  <c r="N95" i="11" s="1"/>
  <c r="M97" i="11"/>
  <c r="L97" i="11"/>
  <c r="N96" i="11"/>
  <c r="M96" i="11"/>
  <c r="L96" i="11"/>
  <c r="N94" i="11"/>
  <c r="N92" i="11" s="1"/>
  <c r="M94" i="11"/>
  <c r="L94" i="11"/>
  <c r="N93" i="11"/>
  <c r="M93" i="11"/>
  <c r="L93" i="11"/>
  <c r="N91" i="11"/>
  <c r="M91" i="11"/>
  <c r="L91" i="11"/>
  <c r="M90" i="11"/>
  <c r="L90" i="11"/>
  <c r="N89" i="11"/>
  <c r="M89" i="11"/>
  <c r="L89" i="11"/>
  <c r="N88" i="11"/>
  <c r="N87" i="11" s="1"/>
  <c r="M88" i="11"/>
  <c r="L88" i="11"/>
  <c r="I36" i="10"/>
  <c r="L21" i="10"/>
  <c r="L95" i="10"/>
  <c r="K95" i="10"/>
  <c r="L93" i="10"/>
  <c r="K93" i="10"/>
  <c r="L92" i="10"/>
  <c r="K92" i="10"/>
  <c r="L91" i="10"/>
  <c r="K91" i="10"/>
  <c r="L90" i="10"/>
  <c r="K90" i="10"/>
  <c r="L89" i="10"/>
  <c r="K89" i="10"/>
  <c r="L87" i="10"/>
  <c r="K87" i="10"/>
  <c r="L86" i="10"/>
  <c r="K86" i="10"/>
  <c r="L82" i="10"/>
  <c r="L81" i="10" s="1"/>
  <c r="I41" i="10"/>
  <c r="L41" i="10" s="1"/>
  <c r="I37" i="10"/>
  <c r="L34" i="10"/>
  <c r="L28" i="10"/>
  <c r="AN24" i="2"/>
  <c r="L120" i="4"/>
  <c r="K120" i="4"/>
  <c r="L118" i="4"/>
  <c r="K118" i="4"/>
  <c r="L117" i="4"/>
  <c r="K117" i="4"/>
  <c r="L116" i="4"/>
  <c r="K116" i="4"/>
  <c r="L115" i="4"/>
  <c r="K115" i="4"/>
  <c r="L114" i="4"/>
  <c r="K114" i="4"/>
  <c r="K113" i="4" s="1"/>
  <c r="I44" i="7"/>
  <c r="I42" i="7"/>
  <c r="L42" i="7" s="1"/>
  <c r="I56" i="7"/>
  <c r="L56" i="7" s="1"/>
  <c r="I46" i="7"/>
  <c r="I50" i="7"/>
  <c r="L50" i="7" s="1"/>
  <c r="I47" i="7"/>
  <c r="L47" i="7" s="1"/>
  <c r="I51" i="7"/>
  <c r="L51" i="7" s="1"/>
  <c r="L82" i="7"/>
  <c r="K73" i="7"/>
  <c r="L73" i="7"/>
  <c r="K74" i="7"/>
  <c r="L74" i="7"/>
  <c r="K75" i="7"/>
  <c r="L75" i="7"/>
  <c r="L81" i="7"/>
  <c r="K81" i="7"/>
  <c r="L80" i="7"/>
  <c r="K80" i="7"/>
  <c r="L79" i="7"/>
  <c r="K79" i="7"/>
  <c r="L72" i="7"/>
  <c r="K72" i="7"/>
  <c r="L71" i="7"/>
  <c r="K71" i="7"/>
  <c r="L70" i="7"/>
  <c r="K70" i="7"/>
  <c r="L69" i="7"/>
  <c r="K69" i="7"/>
  <c r="AM21" i="2"/>
  <c r="L21" i="9"/>
  <c r="L22" i="9"/>
  <c r="L20" i="9"/>
  <c r="L19" i="9" s="1"/>
  <c r="L18" i="9" s="1"/>
  <c r="AM22" i="2" s="1"/>
  <c r="L30" i="8"/>
  <c r="L25" i="8" s="1"/>
  <c r="L29" i="8"/>
  <c r="L28" i="8"/>
  <c r="L27" i="8"/>
  <c r="L26" i="8"/>
  <c r="L24" i="8"/>
  <c r="L23" i="8" s="1"/>
  <c r="L22" i="8"/>
  <c r="L21" i="8" s="1"/>
  <c r="L20" i="8" s="1"/>
  <c r="L23" i="7"/>
  <c r="L24" i="7"/>
  <c r="L25" i="7"/>
  <c r="L26" i="7"/>
  <c r="L27" i="7"/>
  <c r="L28" i="7"/>
  <c r="L29" i="7"/>
  <c r="L30" i="7"/>
  <c r="L31" i="7"/>
  <c r="L32" i="7"/>
  <c r="L34" i="7"/>
  <c r="L35" i="7"/>
  <c r="L36" i="7"/>
  <c r="L37" i="7"/>
  <c r="L39" i="7"/>
  <c r="L40" i="7"/>
  <c r="L43" i="7"/>
  <c r="L44" i="7"/>
  <c r="L46" i="7"/>
  <c r="L48" i="7"/>
  <c r="L49" i="7"/>
  <c r="L53" i="7"/>
  <c r="L54" i="7"/>
  <c r="L55" i="7"/>
  <c r="L57" i="7"/>
  <c r="L59" i="7"/>
  <c r="L60" i="7"/>
  <c r="L61" i="7"/>
  <c r="L62" i="7"/>
  <c r="L63" i="7"/>
  <c r="L65" i="7"/>
  <c r="L66" i="7"/>
  <c r="L22" i="7"/>
  <c r="AM19" i="2"/>
  <c r="K18" i="6"/>
  <c r="L32" i="6"/>
  <c r="K32" i="6"/>
  <c r="L18" i="6"/>
  <c r="L19" i="6"/>
  <c r="I38" i="6"/>
  <c r="I37" i="6"/>
  <c r="L37" i="6" s="1"/>
  <c r="I36" i="6"/>
  <c r="L42" i="6"/>
  <c r="L46" i="6"/>
  <c r="L47" i="6"/>
  <c r="L45" i="6"/>
  <c r="L44" i="6"/>
  <c r="L43" i="6"/>
  <c r="L41" i="6"/>
  <c r="L40" i="6"/>
  <c r="L39" i="6" s="1"/>
  <c r="L38" i="6"/>
  <c r="L36" i="6"/>
  <c r="L35" i="6"/>
  <c r="L34" i="6"/>
  <c r="L33" i="6"/>
  <c r="L21" i="6"/>
  <c r="L22" i="6"/>
  <c r="L23" i="6"/>
  <c r="L24" i="6"/>
  <c r="L25" i="6"/>
  <c r="L26" i="6"/>
  <c r="L27" i="6"/>
  <c r="L28" i="6"/>
  <c r="L29" i="6"/>
  <c r="L30" i="6"/>
  <c r="L31" i="6"/>
  <c r="L20" i="6"/>
  <c r="L167" i="5"/>
  <c r="L166" i="5"/>
  <c r="L165" i="5"/>
  <c r="L164" i="5"/>
  <c r="L163" i="5" s="1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2" i="5"/>
  <c r="L140" i="5" s="1"/>
  <c r="L141" i="5"/>
  <c r="L139" i="5"/>
  <c r="L138" i="5"/>
  <c r="L137" i="5"/>
  <c r="L136" i="5"/>
  <c r="L135" i="5"/>
  <c r="L134" i="5"/>
  <c r="L133" i="5"/>
  <c r="L132" i="5"/>
  <c r="L131" i="5"/>
  <c r="L130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4" i="5"/>
  <c r="L63" i="5"/>
  <c r="L62" i="5" s="1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1" i="5"/>
  <c r="L22" i="5"/>
  <c r="L23" i="5"/>
  <c r="L24" i="5"/>
  <c r="L25" i="5"/>
  <c r="L26" i="5"/>
  <c r="L27" i="5"/>
  <c r="L20" i="5"/>
  <c r="L37" i="4"/>
  <c r="L3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6" i="4"/>
  <c r="L35" i="4"/>
  <c r="L34" i="4"/>
  <c r="L33" i="4"/>
  <c r="L21" i="4"/>
  <c r="L22" i="4"/>
  <c r="L23" i="4"/>
  <c r="L24" i="4"/>
  <c r="L25" i="4"/>
  <c r="L26" i="4"/>
  <c r="L27" i="4"/>
  <c r="L28" i="4"/>
  <c r="L29" i="4"/>
  <c r="L30" i="4"/>
  <c r="L31" i="4"/>
  <c r="L20" i="4"/>
  <c r="L35" i="3"/>
  <c r="L34" i="3" s="1"/>
  <c r="L33" i="3"/>
  <c r="L32" i="3"/>
  <c r="L31" i="3"/>
  <c r="L30" i="3"/>
  <c r="L28" i="3"/>
  <c r="L27" i="3"/>
  <c r="L26" i="3"/>
  <c r="L25" i="3" s="1"/>
  <c r="L21" i="3"/>
  <c r="L22" i="3"/>
  <c r="L23" i="3"/>
  <c r="L24" i="3"/>
  <c r="L20" i="3"/>
  <c r="L87" i="14"/>
  <c r="L88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 s="1"/>
  <c r="L63" i="14"/>
  <c r="L62" i="14"/>
  <c r="L61" i="14"/>
  <c r="L60" i="14"/>
  <c r="L59" i="14"/>
  <c r="L58" i="14"/>
  <c r="L57" i="14" s="1"/>
  <c r="L56" i="14"/>
  <c r="L55" i="14" s="1"/>
  <c r="L54" i="14"/>
  <c r="L53" i="14"/>
  <c r="L52" i="14" s="1"/>
  <c r="L51" i="14"/>
  <c r="L50" i="14"/>
  <c r="L49" i="14"/>
  <c r="L48" i="14"/>
  <c r="L47" i="14"/>
  <c r="L46" i="14"/>
  <c r="L45" i="14"/>
  <c r="L44" i="14" s="1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20" i="14"/>
  <c r="L89" i="13"/>
  <c r="L88" i="13" s="1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4" i="13"/>
  <c r="L53" i="13"/>
  <c r="L52" i="13"/>
  <c r="L51" i="13"/>
  <c r="L50" i="13"/>
  <c r="L49" i="13"/>
  <c r="L47" i="13"/>
  <c r="L46" i="13" s="1"/>
  <c r="L45" i="13"/>
  <c r="L44" i="13"/>
  <c r="L21" i="13"/>
  <c r="L23" i="13"/>
  <c r="L24" i="13"/>
  <c r="L25" i="13"/>
  <c r="L26" i="13"/>
  <c r="L27" i="13"/>
  <c r="L28" i="13"/>
  <c r="L30" i="13"/>
  <c r="L31" i="13"/>
  <c r="L32" i="13"/>
  <c r="L33" i="13"/>
  <c r="L34" i="13"/>
  <c r="L35" i="13"/>
  <c r="L36" i="13"/>
  <c r="L37" i="13"/>
  <c r="L39" i="13"/>
  <c r="L40" i="13"/>
  <c r="L41" i="13"/>
  <c r="L42" i="13"/>
  <c r="L20" i="13"/>
  <c r="L35" i="12"/>
  <c r="L34" i="12" s="1"/>
  <c r="L33" i="12"/>
  <c r="L30" i="12" s="1"/>
  <c r="L32" i="12"/>
  <c r="L31" i="12"/>
  <c r="L22" i="12"/>
  <c r="L23" i="12"/>
  <c r="L24" i="12"/>
  <c r="L25" i="12"/>
  <c r="L26" i="12"/>
  <c r="L27" i="12"/>
  <c r="L28" i="12"/>
  <c r="L29" i="12"/>
  <c r="L21" i="12"/>
  <c r="N86" i="11"/>
  <c r="N85" i="11"/>
  <c r="N83" i="11"/>
  <c r="N82" i="11" s="1"/>
  <c r="N81" i="11"/>
  <c r="N80" i="11"/>
  <c r="N79" i="11"/>
  <c r="N78" i="11"/>
  <c r="N77" i="11"/>
  <c r="N76" i="11" s="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22" i="11"/>
  <c r="N23" i="11"/>
  <c r="N24" i="11"/>
  <c r="N25" i="11"/>
  <c r="N26" i="11"/>
  <c r="N27" i="11"/>
  <c r="N28" i="11"/>
  <c r="N29" i="11"/>
  <c r="N30" i="11"/>
  <c r="N32" i="11"/>
  <c r="N33" i="11"/>
  <c r="N34" i="11"/>
  <c r="N35" i="11"/>
  <c r="N36" i="11"/>
  <c r="N37" i="11"/>
  <c r="N38" i="11"/>
  <c r="N39" i="11"/>
  <c r="N40" i="11"/>
  <c r="N21" i="11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8" i="10"/>
  <c r="L77" i="10" s="1"/>
  <c r="L79" i="10"/>
  <c r="L80" i="10"/>
  <c r="L22" i="10"/>
  <c r="L23" i="10"/>
  <c r="L24" i="10"/>
  <c r="L25" i="10"/>
  <c r="L26" i="10"/>
  <c r="L27" i="10"/>
  <c r="L29" i="10"/>
  <c r="L30" i="10"/>
  <c r="L31" i="10"/>
  <c r="L32" i="10"/>
  <c r="L33" i="10"/>
  <c r="L35" i="10"/>
  <c r="L36" i="10"/>
  <c r="L37" i="10"/>
  <c r="L38" i="10"/>
  <c r="L39" i="10"/>
  <c r="L40" i="10"/>
  <c r="L42" i="10"/>
  <c r="L44" i="10"/>
  <c r="L45" i="10"/>
  <c r="L46" i="10"/>
  <c r="L47" i="10"/>
  <c r="L49" i="10"/>
  <c r="L50" i="10"/>
  <c r="L51" i="10"/>
  <c r="L53" i="10"/>
  <c r="L54" i="10"/>
  <c r="L56" i="10"/>
  <c r="L57" i="10"/>
  <c r="L58" i="10"/>
  <c r="L59" i="10"/>
  <c r="L60" i="10"/>
  <c r="L61" i="10"/>
  <c r="L62" i="10"/>
  <c r="P21" i="9"/>
  <c r="P22" i="9"/>
  <c r="P20" i="9"/>
  <c r="L129" i="5" l="1"/>
  <c r="L65" i="5"/>
  <c r="L93" i="5"/>
  <c r="L55" i="5"/>
  <c r="L28" i="5"/>
  <c r="AM18" i="2" s="1"/>
  <c r="L43" i="13"/>
  <c r="L57" i="13"/>
  <c r="L143" i="5"/>
  <c r="L114" i="5"/>
  <c r="N57" i="11"/>
  <c r="N41" i="11"/>
  <c r="L48" i="13"/>
  <c r="L19" i="13"/>
  <c r="L18" i="13" s="1"/>
  <c r="AM14" i="2" s="1"/>
  <c r="L52" i="10"/>
  <c r="L48" i="10"/>
  <c r="L88" i="10"/>
  <c r="L85" i="10"/>
  <c r="L63" i="10"/>
  <c r="L43" i="10"/>
  <c r="L55" i="10"/>
  <c r="L20" i="10"/>
  <c r="L113" i="4"/>
  <c r="L18" i="4" s="1"/>
  <c r="AM17" i="2" s="1"/>
  <c r="L58" i="7"/>
  <c r="L33" i="7"/>
  <c r="L52" i="7"/>
  <c r="L45" i="7"/>
  <c r="L38" i="7"/>
  <c r="L41" i="7"/>
  <c r="K68" i="7"/>
  <c r="L64" i="7"/>
  <c r="L21" i="7"/>
  <c r="L19" i="5"/>
  <c r="L19" i="4"/>
  <c r="L18" i="3"/>
  <c r="AM16" i="2" s="1"/>
  <c r="L18" i="14"/>
  <c r="AM15" i="2" s="1"/>
  <c r="L19" i="12"/>
  <c r="L18" i="12" s="1"/>
  <c r="AM13" i="2" s="1"/>
  <c r="N20" i="11"/>
  <c r="N19" i="11" s="1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44" i="5"/>
  <c r="Q142" i="5"/>
  <c r="Q141" i="5"/>
  <c r="N17" i="16"/>
  <c r="L17" i="16"/>
  <c r="L16" i="16" s="1"/>
  <c r="N30" i="8"/>
  <c r="N29" i="8"/>
  <c r="N28" i="8"/>
  <c r="N27" i="8"/>
  <c r="N26" i="8"/>
  <c r="N24" i="8"/>
  <c r="N22" i="8"/>
  <c r="P40" i="6"/>
  <c r="AT24" i="2"/>
  <c r="AV24" i="2" s="1"/>
  <c r="P30" i="8"/>
  <c r="P29" i="8"/>
  <c r="P28" i="8"/>
  <c r="P27" i="8"/>
  <c r="P26" i="8"/>
  <c r="P24" i="8"/>
  <c r="P22" i="8"/>
  <c r="L38" i="16"/>
  <c r="J61" i="16"/>
  <c r="O62" i="16"/>
  <c r="R62" i="16" s="1"/>
  <c r="N62" i="16"/>
  <c r="N61" i="16" s="1"/>
  <c r="L62" i="16"/>
  <c r="L61" i="16" s="1"/>
  <c r="O60" i="16"/>
  <c r="R60" i="16" s="1"/>
  <c r="N60" i="16"/>
  <c r="L60" i="16"/>
  <c r="O59" i="16"/>
  <c r="P59" i="16" s="1"/>
  <c r="Q59" i="16" s="1"/>
  <c r="N59" i="16"/>
  <c r="L59" i="16"/>
  <c r="O58" i="16"/>
  <c r="R58" i="16" s="1"/>
  <c r="N58" i="16"/>
  <c r="L58" i="16"/>
  <c r="O57" i="16"/>
  <c r="R57" i="16" s="1"/>
  <c r="N57" i="16"/>
  <c r="L57" i="16"/>
  <c r="O56" i="16"/>
  <c r="P56" i="16" s="1"/>
  <c r="Q56" i="16" s="1"/>
  <c r="N56" i="16"/>
  <c r="L56" i="16"/>
  <c r="O55" i="16"/>
  <c r="R55" i="16" s="1"/>
  <c r="N55" i="16"/>
  <c r="L55" i="16"/>
  <c r="O54" i="16"/>
  <c r="R54" i="16" s="1"/>
  <c r="N54" i="16"/>
  <c r="L54" i="16"/>
  <c r="O53" i="16"/>
  <c r="P53" i="16" s="1"/>
  <c r="Q53" i="16" s="1"/>
  <c r="N53" i="16"/>
  <c r="L53" i="16"/>
  <c r="O52" i="16"/>
  <c r="R52" i="16" s="1"/>
  <c r="N52" i="16"/>
  <c r="L52" i="16"/>
  <c r="O51" i="16"/>
  <c r="R51" i="16" s="1"/>
  <c r="N51" i="16"/>
  <c r="L51" i="16"/>
  <c r="O50" i="16"/>
  <c r="P50" i="16" s="1"/>
  <c r="Q50" i="16" s="1"/>
  <c r="N50" i="16"/>
  <c r="L50" i="16"/>
  <c r="O49" i="16"/>
  <c r="R49" i="16" s="1"/>
  <c r="N49" i="16"/>
  <c r="L49" i="16"/>
  <c r="O48" i="16"/>
  <c r="R48" i="16" s="1"/>
  <c r="N48" i="16"/>
  <c r="L48" i="16"/>
  <c r="O47" i="16"/>
  <c r="P47" i="16" s="1"/>
  <c r="Q47" i="16" s="1"/>
  <c r="N47" i="16"/>
  <c r="L47" i="16"/>
  <c r="O46" i="16"/>
  <c r="R46" i="16" s="1"/>
  <c r="N46" i="16"/>
  <c r="L46" i="16"/>
  <c r="O45" i="16"/>
  <c r="R45" i="16" s="1"/>
  <c r="N45" i="16"/>
  <c r="L45" i="16"/>
  <c r="L44" i="16" s="1"/>
  <c r="O43" i="16"/>
  <c r="R43" i="16" s="1"/>
  <c r="N43" i="16"/>
  <c r="L43" i="16"/>
  <c r="O42" i="16"/>
  <c r="P42" i="16" s="1"/>
  <c r="Q42" i="16" s="1"/>
  <c r="N42" i="16"/>
  <c r="L42" i="16"/>
  <c r="O41" i="16"/>
  <c r="R41" i="16" s="1"/>
  <c r="N41" i="16"/>
  <c r="L41" i="16"/>
  <c r="O40" i="16"/>
  <c r="R40" i="16" s="1"/>
  <c r="N40" i="16"/>
  <c r="L40" i="16"/>
  <c r="O39" i="16"/>
  <c r="P39" i="16" s="1"/>
  <c r="Q39" i="16" s="1"/>
  <c r="N39" i="16"/>
  <c r="N38" i="16" s="1"/>
  <c r="L39" i="16"/>
  <c r="O37" i="16"/>
  <c r="R37" i="16" s="1"/>
  <c r="N37" i="16"/>
  <c r="L37" i="16"/>
  <c r="O36" i="16"/>
  <c r="P36" i="16" s="1"/>
  <c r="Q36" i="16" s="1"/>
  <c r="N36" i="16"/>
  <c r="L36" i="16"/>
  <c r="O35" i="16"/>
  <c r="R35" i="16" s="1"/>
  <c r="N35" i="16"/>
  <c r="L35" i="16"/>
  <c r="L34" i="16" s="1"/>
  <c r="O33" i="16"/>
  <c r="R33" i="16" s="1"/>
  <c r="N33" i="16"/>
  <c r="L33" i="16"/>
  <c r="O32" i="16"/>
  <c r="R32" i="16" s="1"/>
  <c r="N32" i="16"/>
  <c r="L32" i="16"/>
  <c r="L31" i="16" s="1"/>
  <c r="L20" i="16"/>
  <c r="N20" i="16"/>
  <c r="O20" i="16"/>
  <c r="P20" i="16" s="1"/>
  <c r="Q20" i="16" s="1"/>
  <c r="R20" i="16"/>
  <c r="S20" i="16" s="1"/>
  <c r="L21" i="16"/>
  <c r="N21" i="16"/>
  <c r="O21" i="16"/>
  <c r="P21" i="16" s="1"/>
  <c r="Q21" i="16" s="1"/>
  <c r="L22" i="16"/>
  <c r="N22" i="16"/>
  <c r="O22" i="16"/>
  <c r="P22" i="16" s="1"/>
  <c r="Q22" i="16" s="1"/>
  <c r="L23" i="16"/>
  <c r="N23" i="16"/>
  <c r="O23" i="16"/>
  <c r="P23" i="16" s="1"/>
  <c r="Q23" i="16" s="1"/>
  <c r="L24" i="16"/>
  <c r="N24" i="16"/>
  <c r="O24" i="16"/>
  <c r="R24" i="16" s="1"/>
  <c r="L25" i="16"/>
  <c r="N25" i="16"/>
  <c r="O25" i="16"/>
  <c r="R25" i="16" s="1"/>
  <c r="P25" i="16"/>
  <c r="Q25" i="16" s="1"/>
  <c r="L26" i="16"/>
  <c r="N26" i="16"/>
  <c r="O26" i="16"/>
  <c r="P26" i="16" s="1"/>
  <c r="Q26" i="16" s="1"/>
  <c r="R26" i="16"/>
  <c r="S26" i="16" s="1"/>
  <c r="L27" i="16"/>
  <c r="N27" i="16"/>
  <c r="O27" i="16"/>
  <c r="R27" i="16" s="1"/>
  <c r="L28" i="16"/>
  <c r="N28" i="16"/>
  <c r="O28" i="16"/>
  <c r="P28" i="16" s="1"/>
  <c r="Q28" i="16" s="1"/>
  <c r="L29" i="16"/>
  <c r="N29" i="16"/>
  <c r="O29" i="16"/>
  <c r="R29" i="16" s="1"/>
  <c r="S29" i="16" s="1"/>
  <c r="L30" i="16"/>
  <c r="N30" i="16"/>
  <c r="O30" i="16"/>
  <c r="R30" i="16" s="1"/>
  <c r="L19" i="16"/>
  <c r="L18" i="16" s="1"/>
  <c r="N19" i="16"/>
  <c r="O19" i="16"/>
  <c r="R19" i="16" s="1"/>
  <c r="J62" i="16"/>
  <c r="J60" i="16"/>
  <c r="J53" i="16"/>
  <c r="J52" i="16"/>
  <c r="J47" i="16"/>
  <c r="J46" i="16"/>
  <c r="C46" i="16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 s="1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 s="1"/>
  <c r="J17" i="16" s="1"/>
  <c r="J16" i="16" s="1"/>
  <c r="AL25" i="2" s="1"/>
  <c r="AM25" i="2" s="1"/>
  <c r="AN25" i="2" s="1"/>
  <c r="P86" i="11"/>
  <c r="R86" i="11"/>
  <c r="R85" i="11"/>
  <c r="P85" i="11"/>
  <c r="M86" i="11"/>
  <c r="L86" i="11"/>
  <c r="M85" i="11"/>
  <c r="L85" i="11"/>
  <c r="L83" i="11"/>
  <c r="AL23" i="2"/>
  <c r="AM23" i="2" s="1"/>
  <c r="AN23" i="2" s="1"/>
  <c r="S21" i="11"/>
  <c r="V21" i="11" s="1"/>
  <c r="X21" i="11" s="1"/>
  <c r="M83" i="11"/>
  <c r="M81" i="11"/>
  <c r="M80" i="11"/>
  <c r="M79" i="11"/>
  <c r="M78" i="11"/>
  <c r="M77" i="11"/>
  <c r="M82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21" i="11"/>
  <c r="R40" i="11"/>
  <c r="R39" i="11"/>
  <c r="R83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83" i="11"/>
  <c r="P78" i="11"/>
  <c r="P79" i="11"/>
  <c r="P80" i="11"/>
  <c r="P81" i="11"/>
  <c r="P77" i="11"/>
  <c r="R81" i="11"/>
  <c r="R80" i="11"/>
  <c r="R78" i="11"/>
  <c r="R77" i="11"/>
  <c r="R72" i="11"/>
  <c r="R70" i="11"/>
  <c r="R69" i="11"/>
  <c r="R68" i="11"/>
  <c r="R55" i="11"/>
  <c r="R54" i="11"/>
  <c r="R53" i="11"/>
  <c r="R51" i="11"/>
  <c r="R43" i="11"/>
  <c r="R44" i="11"/>
  <c r="R45" i="11"/>
  <c r="R42" i="11"/>
  <c r="N35" i="3"/>
  <c r="N33" i="3"/>
  <c r="N32" i="3"/>
  <c r="N31" i="3"/>
  <c r="N30" i="3"/>
  <c r="N28" i="3"/>
  <c r="N27" i="3"/>
  <c r="N26" i="3"/>
  <c r="N21" i="3"/>
  <c r="N22" i="3"/>
  <c r="N23" i="3"/>
  <c r="N24" i="3"/>
  <c r="N20" i="3"/>
  <c r="R79" i="11"/>
  <c r="R56" i="11"/>
  <c r="R75" i="11"/>
  <c r="R74" i="11"/>
  <c r="R73" i="11"/>
  <c r="R71" i="11"/>
  <c r="R67" i="11"/>
  <c r="R66" i="11"/>
  <c r="R65" i="11"/>
  <c r="R64" i="11"/>
  <c r="R63" i="11"/>
  <c r="R62" i="11"/>
  <c r="R61" i="11"/>
  <c r="R60" i="11"/>
  <c r="R59" i="11"/>
  <c r="R58" i="11"/>
  <c r="R52" i="11"/>
  <c r="R50" i="11"/>
  <c r="R49" i="11"/>
  <c r="R48" i="11"/>
  <c r="R47" i="11"/>
  <c r="R46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21" i="11"/>
  <c r="P36" i="6"/>
  <c r="P35" i="6"/>
  <c r="P35" i="3"/>
  <c r="P33" i="3"/>
  <c r="P32" i="3"/>
  <c r="P31" i="3"/>
  <c r="P30" i="3"/>
  <c r="P28" i="3"/>
  <c r="P27" i="3"/>
  <c r="P26" i="3"/>
  <c r="P21" i="3"/>
  <c r="P22" i="3"/>
  <c r="P23" i="3"/>
  <c r="P24" i="3"/>
  <c r="P20" i="3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21" i="4"/>
  <c r="N22" i="4"/>
  <c r="N23" i="4"/>
  <c r="N24" i="4"/>
  <c r="N25" i="4"/>
  <c r="N26" i="4"/>
  <c r="N27" i="4"/>
  <c r="N28" i="4"/>
  <c r="N29" i="4"/>
  <c r="N30" i="4"/>
  <c r="N31" i="4"/>
  <c r="N20" i="4"/>
  <c r="N47" i="6"/>
  <c r="N45" i="6"/>
  <c r="N44" i="6"/>
  <c r="N43" i="6"/>
  <c r="N41" i="6"/>
  <c r="N40" i="6"/>
  <c r="N38" i="6"/>
  <c r="N37" i="6"/>
  <c r="N36" i="6"/>
  <c r="N35" i="6"/>
  <c r="N34" i="6"/>
  <c r="N33" i="6"/>
  <c r="N21" i="6"/>
  <c r="N22" i="6"/>
  <c r="N23" i="6"/>
  <c r="N24" i="6"/>
  <c r="N25" i="6"/>
  <c r="N26" i="6"/>
  <c r="N27" i="6"/>
  <c r="N28" i="6"/>
  <c r="N29" i="6"/>
  <c r="N30" i="6"/>
  <c r="N31" i="6"/>
  <c r="N20" i="6"/>
  <c r="P47" i="6"/>
  <c r="P45" i="6"/>
  <c r="P44" i="6"/>
  <c r="P43" i="6"/>
  <c r="P41" i="6"/>
  <c r="P38" i="6"/>
  <c r="P37" i="6"/>
  <c r="P34" i="6"/>
  <c r="P33" i="6"/>
  <c r="P31" i="6"/>
  <c r="P21" i="6"/>
  <c r="P22" i="6"/>
  <c r="P23" i="6"/>
  <c r="P24" i="6"/>
  <c r="P25" i="6"/>
  <c r="P26" i="6"/>
  <c r="P27" i="6"/>
  <c r="P28" i="6"/>
  <c r="P29" i="6"/>
  <c r="P30" i="6"/>
  <c r="P20" i="6"/>
  <c r="P31" i="4"/>
  <c r="P30" i="4"/>
  <c r="P29" i="4"/>
  <c r="P28" i="4"/>
  <c r="P27" i="4"/>
  <c r="P26" i="4"/>
  <c r="P25" i="4"/>
  <c r="P24" i="4"/>
  <c r="P23" i="4"/>
  <c r="P22" i="4"/>
  <c r="P21" i="4"/>
  <c r="P20" i="4"/>
  <c r="P36" i="4"/>
  <c r="P35" i="4"/>
  <c r="P34" i="4"/>
  <c r="P33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62" i="4"/>
  <c r="P31" i="12"/>
  <c r="P27" i="12"/>
  <c r="P21" i="12"/>
  <c r="N35" i="12"/>
  <c r="N33" i="12"/>
  <c r="N32" i="12"/>
  <c r="N31" i="12"/>
  <c r="N22" i="12"/>
  <c r="N23" i="12"/>
  <c r="N24" i="12"/>
  <c r="N25" i="12"/>
  <c r="N26" i="12"/>
  <c r="N27" i="12"/>
  <c r="N28" i="12"/>
  <c r="N29" i="12"/>
  <c r="N21" i="12"/>
  <c r="N82" i="10"/>
  <c r="N80" i="10"/>
  <c r="N79" i="10"/>
  <c r="N78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2" i="10"/>
  <c r="N61" i="10"/>
  <c r="N60" i="10"/>
  <c r="N59" i="10"/>
  <c r="N58" i="10"/>
  <c r="N57" i="10"/>
  <c r="N56" i="10"/>
  <c r="N54" i="10"/>
  <c r="N53" i="10"/>
  <c r="N51" i="10"/>
  <c r="N50" i="10"/>
  <c r="N49" i="10"/>
  <c r="N47" i="10"/>
  <c r="N46" i="10"/>
  <c r="N45" i="10"/>
  <c r="N44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21" i="10"/>
  <c r="O167" i="5"/>
  <c r="O166" i="5"/>
  <c r="O165" i="5"/>
  <c r="O164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39" i="5"/>
  <c r="O138" i="5"/>
  <c r="O137" i="5"/>
  <c r="O136" i="5"/>
  <c r="O135" i="5"/>
  <c r="O134" i="5"/>
  <c r="O133" i="5"/>
  <c r="O132" i="5"/>
  <c r="O131" i="5"/>
  <c r="O130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4" i="5"/>
  <c r="O63" i="5"/>
  <c r="O61" i="5"/>
  <c r="O60" i="5"/>
  <c r="O59" i="5"/>
  <c r="O58" i="5"/>
  <c r="O57" i="5"/>
  <c r="O56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1" i="5"/>
  <c r="O22" i="5"/>
  <c r="O23" i="5"/>
  <c r="O24" i="5"/>
  <c r="O25" i="5"/>
  <c r="O26" i="5"/>
  <c r="O27" i="5"/>
  <c r="O20" i="5"/>
  <c r="L31" i="1"/>
  <c r="L30" i="1"/>
  <c r="L28" i="1"/>
  <c r="L27" i="1"/>
  <c r="L26" i="1"/>
  <c r="L24" i="1"/>
  <c r="L21" i="1"/>
  <c r="L20" i="1"/>
  <c r="P72" i="10"/>
  <c r="P31" i="10"/>
  <c r="P32" i="10"/>
  <c r="P33" i="10"/>
  <c r="P37" i="10"/>
  <c r="Q50" i="13"/>
  <c r="P82" i="10"/>
  <c r="P79" i="10"/>
  <c r="P78" i="10"/>
  <c r="P35" i="12"/>
  <c r="P33" i="12"/>
  <c r="P32" i="12"/>
  <c r="P22" i="12"/>
  <c r="P23" i="12"/>
  <c r="P24" i="12"/>
  <c r="P25" i="12"/>
  <c r="P26" i="12"/>
  <c r="P28" i="12"/>
  <c r="P29" i="12"/>
  <c r="P45" i="10"/>
  <c r="P80" i="10"/>
  <c r="P76" i="10"/>
  <c r="P75" i="10"/>
  <c r="P74" i="10"/>
  <c r="P73" i="10"/>
  <c r="P71" i="10"/>
  <c r="P70" i="10"/>
  <c r="P69" i="10"/>
  <c r="P68" i="10"/>
  <c r="P67" i="10"/>
  <c r="P66" i="10"/>
  <c r="P65" i="10"/>
  <c r="P64" i="10"/>
  <c r="P62" i="10"/>
  <c r="P61" i="10"/>
  <c r="P60" i="10"/>
  <c r="P59" i="10"/>
  <c r="P58" i="10"/>
  <c r="P57" i="10"/>
  <c r="P56" i="10"/>
  <c r="P54" i="10"/>
  <c r="P53" i="10"/>
  <c r="P51" i="10"/>
  <c r="P50" i="10"/>
  <c r="P49" i="10"/>
  <c r="P47" i="10"/>
  <c r="P46" i="10"/>
  <c r="P44" i="10"/>
  <c r="P22" i="10"/>
  <c r="P23" i="10"/>
  <c r="P24" i="10"/>
  <c r="P25" i="10"/>
  <c r="P26" i="10"/>
  <c r="P27" i="10"/>
  <c r="P28" i="10"/>
  <c r="P29" i="10"/>
  <c r="P30" i="10"/>
  <c r="P34" i="10"/>
  <c r="P35" i="10"/>
  <c r="P36" i="10"/>
  <c r="P38" i="10"/>
  <c r="P39" i="10"/>
  <c r="P40" i="10"/>
  <c r="P41" i="10"/>
  <c r="P42" i="10"/>
  <c r="P21" i="10"/>
  <c r="Q167" i="5"/>
  <c r="Q166" i="5"/>
  <c r="Q165" i="5"/>
  <c r="Q164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4" i="5"/>
  <c r="Q63" i="5"/>
  <c r="Q61" i="5"/>
  <c r="Q60" i="5"/>
  <c r="Q59" i="5"/>
  <c r="Q58" i="5"/>
  <c r="Q57" i="5"/>
  <c r="Q56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1" i="5"/>
  <c r="Q22" i="5"/>
  <c r="Q23" i="5"/>
  <c r="Q24" i="5"/>
  <c r="Q25" i="5"/>
  <c r="Q26" i="5"/>
  <c r="Q27" i="5"/>
  <c r="Q20" i="5"/>
  <c r="N66" i="7"/>
  <c r="N65" i="7"/>
  <c r="N63" i="7"/>
  <c r="N62" i="7"/>
  <c r="N61" i="7"/>
  <c r="N60" i="7"/>
  <c r="N59" i="7"/>
  <c r="N57" i="7"/>
  <c r="N56" i="7"/>
  <c r="N55" i="7"/>
  <c r="N54" i="7"/>
  <c r="N53" i="7"/>
  <c r="N51" i="7"/>
  <c r="N50" i="7"/>
  <c r="N49" i="7"/>
  <c r="N48" i="7"/>
  <c r="N47" i="7"/>
  <c r="N46" i="7"/>
  <c r="N44" i="7"/>
  <c r="N43" i="7"/>
  <c r="N42" i="7"/>
  <c r="N40" i="7"/>
  <c r="N39" i="7"/>
  <c r="N37" i="7"/>
  <c r="N36" i="7"/>
  <c r="N35" i="7"/>
  <c r="N34" i="7"/>
  <c r="N23" i="7"/>
  <c r="N24" i="7"/>
  <c r="N25" i="7"/>
  <c r="N26" i="7"/>
  <c r="N27" i="7"/>
  <c r="N28" i="7"/>
  <c r="N29" i="7"/>
  <c r="N30" i="7"/>
  <c r="N31" i="7"/>
  <c r="N32" i="7"/>
  <c r="N22" i="7"/>
  <c r="Q34" i="13"/>
  <c r="O89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6" i="13"/>
  <c r="O55" i="13"/>
  <c r="O54" i="13"/>
  <c r="O53" i="13"/>
  <c r="O52" i="13"/>
  <c r="O51" i="13"/>
  <c r="O50" i="13"/>
  <c r="O49" i="13"/>
  <c r="O47" i="13"/>
  <c r="O45" i="13"/>
  <c r="O44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20" i="13"/>
  <c r="N88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3" i="14"/>
  <c r="N62" i="14"/>
  <c r="N61" i="14"/>
  <c r="N60" i="14"/>
  <c r="N59" i="14"/>
  <c r="N58" i="14"/>
  <c r="N56" i="14"/>
  <c r="N54" i="14"/>
  <c r="N53" i="14"/>
  <c r="N51" i="14"/>
  <c r="N50" i="14"/>
  <c r="N49" i="14"/>
  <c r="N48" i="14"/>
  <c r="N47" i="14"/>
  <c r="N46" i="14"/>
  <c r="N45" i="14"/>
  <c r="N32" i="14"/>
  <c r="N21" i="14"/>
  <c r="N22" i="14"/>
  <c r="N23" i="14"/>
  <c r="N24" i="14"/>
  <c r="N25" i="14"/>
  <c r="N26" i="14"/>
  <c r="N27" i="14"/>
  <c r="N28" i="14"/>
  <c r="N29" i="14"/>
  <c r="N30" i="14"/>
  <c r="N31" i="14"/>
  <c r="N33" i="14"/>
  <c r="N34" i="14"/>
  <c r="N35" i="14"/>
  <c r="N36" i="14"/>
  <c r="N37" i="14"/>
  <c r="N38" i="14"/>
  <c r="N39" i="14"/>
  <c r="N40" i="14"/>
  <c r="N41" i="14"/>
  <c r="N42" i="14"/>
  <c r="N43" i="14"/>
  <c r="N20" i="14"/>
  <c r="P66" i="7"/>
  <c r="P65" i="7"/>
  <c r="P63" i="7"/>
  <c r="P62" i="7"/>
  <c r="P61" i="7"/>
  <c r="P60" i="7"/>
  <c r="P59" i="7"/>
  <c r="P57" i="7"/>
  <c r="P56" i="7"/>
  <c r="P55" i="7"/>
  <c r="P54" i="7"/>
  <c r="P53" i="7"/>
  <c r="P32" i="7"/>
  <c r="P31" i="7"/>
  <c r="P30" i="7"/>
  <c r="P29" i="7"/>
  <c r="P28" i="7"/>
  <c r="P27" i="7"/>
  <c r="P26" i="7"/>
  <c r="P25" i="7"/>
  <c r="P24" i="7"/>
  <c r="P23" i="7"/>
  <c r="P22" i="7"/>
  <c r="P37" i="7"/>
  <c r="P36" i="7"/>
  <c r="P35" i="7"/>
  <c r="P34" i="7"/>
  <c r="P40" i="7"/>
  <c r="P39" i="7"/>
  <c r="P51" i="7"/>
  <c r="P50" i="7"/>
  <c r="P49" i="7"/>
  <c r="P48" i="7"/>
  <c r="P47" i="7"/>
  <c r="P46" i="7"/>
  <c r="P43" i="7"/>
  <c r="P44" i="7"/>
  <c r="P42" i="7"/>
  <c r="L22" i="1"/>
  <c r="L23" i="1"/>
  <c r="L25" i="1"/>
  <c r="L29" i="1"/>
  <c r="N21" i="1"/>
  <c r="N22" i="1"/>
  <c r="N23" i="1"/>
  <c r="N24" i="1"/>
  <c r="N25" i="1"/>
  <c r="N26" i="1"/>
  <c r="N27" i="1"/>
  <c r="N28" i="1"/>
  <c r="N29" i="1"/>
  <c r="N30" i="1"/>
  <c r="N31" i="1"/>
  <c r="N20" i="1"/>
  <c r="Q89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6" i="13"/>
  <c r="Q55" i="13"/>
  <c r="Q54" i="13"/>
  <c r="Q53" i="13"/>
  <c r="Q52" i="13"/>
  <c r="Q51" i="13"/>
  <c r="Q49" i="13"/>
  <c r="Q47" i="13"/>
  <c r="Q45" i="13"/>
  <c r="Q44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5" i="13"/>
  <c r="Q36" i="13"/>
  <c r="Q37" i="13"/>
  <c r="Q38" i="13"/>
  <c r="Q39" i="13"/>
  <c r="Q40" i="13"/>
  <c r="Q41" i="13"/>
  <c r="Q42" i="13"/>
  <c r="Q20" i="13"/>
  <c r="P88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3" i="14"/>
  <c r="P62" i="14"/>
  <c r="P61" i="14"/>
  <c r="P60" i="14"/>
  <c r="P59" i="14"/>
  <c r="P58" i="14"/>
  <c r="P56" i="14"/>
  <c r="P54" i="14"/>
  <c r="P53" i="14"/>
  <c r="P51" i="14"/>
  <c r="P50" i="14"/>
  <c r="P49" i="14"/>
  <c r="P48" i="14"/>
  <c r="P47" i="14"/>
  <c r="P46" i="14"/>
  <c r="P45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20" i="14"/>
  <c r="L19" i="10" l="1"/>
  <c r="R84" i="11"/>
  <c r="M84" i="11"/>
  <c r="N18" i="11"/>
  <c r="AM12" i="2" s="1"/>
  <c r="L18" i="10"/>
  <c r="L20" i="7"/>
  <c r="AM20" i="2" s="1"/>
  <c r="L84" i="11"/>
  <c r="AQ25" i="2"/>
  <c r="R36" i="16"/>
  <c r="T36" i="16" s="1"/>
  <c r="N31" i="16"/>
  <c r="N34" i="16"/>
  <c r="N18" i="16"/>
  <c r="S19" i="16"/>
  <c r="T19" i="16"/>
  <c r="R47" i="16"/>
  <c r="T47" i="16" s="1"/>
  <c r="P19" i="16"/>
  <c r="Q19" i="16" s="1"/>
  <c r="P27" i="16"/>
  <c r="Q27" i="16" s="1"/>
  <c r="P24" i="16"/>
  <c r="Q24" i="16" s="1"/>
  <c r="P84" i="11"/>
  <c r="N44" i="16"/>
  <c r="R53" i="16"/>
  <c r="T53" i="16" s="1"/>
  <c r="P52" i="16"/>
  <c r="Q52" i="16" s="1"/>
  <c r="P49" i="16"/>
  <c r="Q49" i="16" s="1"/>
  <c r="P58" i="16"/>
  <c r="Q58" i="16" s="1"/>
  <c r="S24" i="16"/>
  <c r="T24" i="16"/>
  <c r="S25" i="16"/>
  <c r="T25" i="16"/>
  <c r="P30" i="16"/>
  <c r="Q30" i="16" s="1"/>
  <c r="P29" i="16"/>
  <c r="Q29" i="16" s="1"/>
  <c r="R28" i="16"/>
  <c r="R50" i="16"/>
  <c r="T50" i="16" s="1"/>
  <c r="P55" i="16"/>
  <c r="Q55" i="16" s="1"/>
  <c r="R23" i="16"/>
  <c r="S23" i="16" s="1"/>
  <c r="R22" i="16"/>
  <c r="R21" i="16"/>
  <c r="P32" i="16"/>
  <c r="P46" i="16"/>
  <c r="Q46" i="16" s="1"/>
  <c r="R59" i="16"/>
  <c r="T59" i="16" s="1"/>
  <c r="R56" i="16"/>
  <c r="T56" i="16" s="1"/>
  <c r="T62" i="16"/>
  <c r="S62" i="16"/>
  <c r="S61" i="16" s="1"/>
  <c r="P62" i="16"/>
  <c r="S49" i="16"/>
  <c r="T49" i="16"/>
  <c r="T57" i="16"/>
  <c r="S57" i="16"/>
  <c r="S46" i="16"/>
  <c r="T46" i="16"/>
  <c r="T54" i="16"/>
  <c r="S54" i="16"/>
  <c r="T51" i="16"/>
  <c r="S51" i="16"/>
  <c r="T48" i="16"/>
  <c r="S48" i="16"/>
  <c r="S58" i="16"/>
  <c r="T58" i="16"/>
  <c r="T45" i="16"/>
  <c r="S45" i="16"/>
  <c r="S55" i="16"/>
  <c r="T55" i="16"/>
  <c r="S52" i="16"/>
  <c r="T52" i="16"/>
  <c r="T60" i="16"/>
  <c r="S60" i="16"/>
  <c r="P45" i="16"/>
  <c r="P48" i="16"/>
  <c r="Q48" i="16" s="1"/>
  <c r="P51" i="16"/>
  <c r="Q51" i="16" s="1"/>
  <c r="P54" i="16"/>
  <c r="Q54" i="16" s="1"/>
  <c r="P57" i="16"/>
  <c r="Q57" i="16" s="1"/>
  <c r="P60" i="16"/>
  <c r="Q60" i="16" s="1"/>
  <c r="S47" i="16"/>
  <c r="S53" i="16"/>
  <c r="T40" i="16"/>
  <c r="S40" i="16"/>
  <c r="T41" i="16"/>
  <c r="S41" i="16"/>
  <c r="T43" i="16"/>
  <c r="S43" i="16"/>
  <c r="R39" i="16"/>
  <c r="P40" i="16"/>
  <c r="Q40" i="16" s="1"/>
  <c r="R42" i="16"/>
  <c r="P43" i="16"/>
  <c r="Q43" i="16" s="1"/>
  <c r="P41" i="16"/>
  <c r="Q41" i="16" s="1"/>
  <c r="T35" i="16"/>
  <c r="S35" i="16"/>
  <c r="T37" i="16"/>
  <c r="S37" i="16"/>
  <c r="P37" i="16"/>
  <c r="Q37" i="16" s="1"/>
  <c r="S36" i="16"/>
  <c r="P35" i="16"/>
  <c r="T32" i="16"/>
  <c r="S32" i="16"/>
  <c r="T33" i="16"/>
  <c r="S33" i="16"/>
  <c r="P33" i="16"/>
  <c r="Q33" i="16" s="1"/>
  <c r="S27" i="16"/>
  <c r="T27" i="16"/>
  <c r="S30" i="16"/>
  <c r="T30" i="16"/>
  <c r="T29" i="16"/>
  <c r="T26" i="16"/>
  <c r="T20" i="16"/>
  <c r="S86" i="11"/>
  <c r="S85" i="11"/>
  <c r="V85" i="11" s="1"/>
  <c r="X85" i="11" s="1"/>
  <c r="T21" i="11"/>
  <c r="U21" i="11" s="1"/>
  <c r="M57" i="11"/>
  <c r="M76" i="11"/>
  <c r="M20" i="11"/>
  <c r="M41" i="11"/>
  <c r="P20" i="10"/>
  <c r="O21" i="1"/>
  <c r="R21" i="1" s="1"/>
  <c r="S21" i="1" s="1"/>
  <c r="O22" i="1"/>
  <c r="R22" i="1" s="1"/>
  <c r="O23" i="1"/>
  <c r="P23" i="1" s="1"/>
  <c r="Q23" i="1" s="1"/>
  <c r="O24" i="1"/>
  <c r="R24" i="1" s="1"/>
  <c r="S24" i="1" s="1"/>
  <c r="O25" i="1"/>
  <c r="R25" i="1" s="1"/>
  <c r="O26" i="1"/>
  <c r="P26" i="1" s="1"/>
  <c r="Q26" i="1" s="1"/>
  <c r="O27" i="1"/>
  <c r="R27" i="1" s="1"/>
  <c r="S27" i="1" s="1"/>
  <c r="O28" i="1"/>
  <c r="R28" i="1" s="1"/>
  <c r="O29" i="1"/>
  <c r="P29" i="1" s="1"/>
  <c r="Q29" i="1" s="1"/>
  <c r="O30" i="1"/>
  <c r="P30" i="1" s="1"/>
  <c r="Q30" i="1" s="1"/>
  <c r="O31" i="1"/>
  <c r="R31" i="1" s="1"/>
  <c r="O20" i="1"/>
  <c r="R20" i="1" s="1"/>
  <c r="N19" i="1"/>
  <c r="N18" i="1" s="1"/>
  <c r="AR23" i="2" s="1"/>
  <c r="L19" i="1"/>
  <c r="L18" i="1" s="1"/>
  <c r="AQ23" i="2" s="1"/>
  <c r="J19" i="1"/>
  <c r="N21" i="9"/>
  <c r="P19" i="9"/>
  <c r="P18" i="9" s="1"/>
  <c r="AR22" i="2" s="1"/>
  <c r="Q21" i="9"/>
  <c r="R21" i="9" s="1"/>
  <c r="N22" i="9"/>
  <c r="Q22" i="9"/>
  <c r="T22" i="9" s="1"/>
  <c r="R22" i="9"/>
  <c r="Q20" i="9"/>
  <c r="T20" i="9" s="1"/>
  <c r="N20" i="9"/>
  <c r="P23" i="8"/>
  <c r="Q30" i="8"/>
  <c r="T30" i="8" s="1"/>
  <c r="Q29" i="8"/>
  <c r="R29" i="8" s="1"/>
  <c r="Q28" i="8"/>
  <c r="T28" i="8" s="1"/>
  <c r="Q27" i="8"/>
  <c r="T27" i="8" s="1"/>
  <c r="N25" i="8"/>
  <c r="Q26" i="8"/>
  <c r="R26" i="8" s="1"/>
  <c r="P25" i="8"/>
  <c r="Q24" i="8"/>
  <c r="T24" i="8" s="1"/>
  <c r="N23" i="8"/>
  <c r="P21" i="8"/>
  <c r="N21" i="8"/>
  <c r="Q22" i="8"/>
  <c r="T22" i="8" s="1"/>
  <c r="P33" i="7"/>
  <c r="P38" i="7"/>
  <c r="P45" i="7"/>
  <c r="P52" i="7"/>
  <c r="P58" i="7"/>
  <c r="P64" i="7"/>
  <c r="Q66" i="7"/>
  <c r="T66" i="7" s="1"/>
  <c r="Q65" i="7"/>
  <c r="T65" i="7" s="1"/>
  <c r="N64" i="7"/>
  <c r="Q63" i="7"/>
  <c r="T63" i="7" s="1"/>
  <c r="N58" i="7"/>
  <c r="Q62" i="7"/>
  <c r="R62" i="7" s="1"/>
  <c r="Q61" i="7"/>
  <c r="T61" i="7" s="1"/>
  <c r="Q60" i="7"/>
  <c r="T60" i="7" s="1"/>
  <c r="Q59" i="7"/>
  <c r="R59" i="7" s="1"/>
  <c r="Q57" i="7"/>
  <c r="T57" i="7" s="1"/>
  <c r="Q56" i="7"/>
  <c r="R56" i="7" s="1"/>
  <c r="Q55" i="7"/>
  <c r="T55" i="7" s="1"/>
  <c r="Q54" i="7"/>
  <c r="T54" i="7" s="1"/>
  <c r="N52" i="7"/>
  <c r="Q53" i="7"/>
  <c r="R53" i="7" s="1"/>
  <c r="Q51" i="7"/>
  <c r="T51" i="7" s="1"/>
  <c r="Q50" i="7"/>
  <c r="R50" i="7" s="1"/>
  <c r="Q49" i="7"/>
  <c r="T49" i="7" s="1"/>
  <c r="Q48" i="7"/>
  <c r="T48" i="7" s="1"/>
  <c r="N45" i="7"/>
  <c r="Q47" i="7"/>
  <c r="R47" i="7" s="1"/>
  <c r="Q46" i="7"/>
  <c r="T46" i="7" s="1"/>
  <c r="V46" i="7" s="1"/>
  <c r="Q44" i="7"/>
  <c r="T44" i="7" s="1"/>
  <c r="Q43" i="7"/>
  <c r="R43" i="7" s="1"/>
  <c r="Q42" i="7"/>
  <c r="T42" i="7" s="1"/>
  <c r="P41" i="7"/>
  <c r="N41" i="7"/>
  <c r="Q40" i="7"/>
  <c r="T40" i="7" s="1"/>
  <c r="Q39" i="7"/>
  <c r="T39" i="7" s="1"/>
  <c r="N38" i="7"/>
  <c r="Q37" i="7"/>
  <c r="R37" i="7" s="1"/>
  <c r="Q36" i="7"/>
  <c r="R36" i="7" s="1"/>
  <c r="Q35" i="7"/>
  <c r="T35" i="7" s="1"/>
  <c r="Q34" i="7"/>
  <c r="T34" i="7" s="1"/>
  <c r="N33" i="7"/>
  <c r="Q23" i="7"/>
  <c r="R23" i="7" s="1"/>
  <c r="Q24" i="7"/>
  <c r="R24" i="7" s="1"/>
  <c r="P21" i="7"/>
  <c r="Q25" i="7"/>
  <c r="T25" i="7" s="1"/>
  <c r="Q26" i="7"/>
  <c r="R26" i="7" s="1"/>
  <c r="Q27" i="7"/>
  <c r="T27" i="7" s="1"/>
  <c r="U27" i="7" s="1"/>
  <c r="Q28" i="7"/>
  <c r="T28" i="7" s="1"/>
  <c r="Q29" i="7"/>
  <c r="R29" i="7" s="1"/>
  <c r="Q30" i="7"/>
  <c r="R30" i="7" s="1"/>
  <c r="Q31" i="7"/>
  <c r="T31" i="7" s="1"/>
  <c r="Q32" i="7"/>
  <c r="R32" i="7" s="1"/>
  <c r="N21" i="7"/>
  <c r="Q22" i="7"/>
  <c r="T22" i="7" s="1"/>
  <c r="P32" i="6"/>
  <c r="P39" i="6"/>
  <c r="P42" i="6"/>
  <c r="P46" i="6"/>
  <c r="Q47" i="6"/>
  <c r="T47" i="6" s="1"/>
  <c r="N46" i="6"/>
  <c r="Q45" i="6"/>
  <c r="T45" i="6" s="1"/>
  <c r="Q44" i="6"/>
  <c r="R44" i="6" s="1"/>
  <c r="Q43" i="6"/>
  <c r="T43" i="6" s="1"/>
  <c r="N42" i="6"/>
  <c r="Q41" i="6"/>
  <c r="T41" i="6" s="1"/>
  <c r="Q40" i="6"/>
  <c r="R40" i="6" s="1"/>
  <c r="N39" i="6"/>
  <c r="Q38" i="6"/>
  <c r="T38" i="6" s="1"/>
  <c r="Q37" i="6"/>
  <c r="R37" i="6" s="1"/>
  <c r="Q36" i="6"/>
  <c r="T36" i="6" s="1"/>
  <c r="Q35" i="6"/>
  <c r="T35" i="6" s="1"/>
  <c r="Q34" i="6"/>
  <c r="R34" i="6" s="1"/>
  <c r="Q33" i="6"/>
  <c r="T33" i="6" s="1"/>
  <c r="N32" i="6"/>
  <c r="Q21" i="6"/>
  <c r="R21" i="6" s="1"/>
  <c r="Q22" i="6"/>
  <c r="T22" i="6" s="1"/>
  <c r="Q23" i="6"/>
  <c r="R23" i="6" s="1"/>
  <c r="Q24" i="6"/>
  <c r="R24" i="6" s="1"/>
  <c r="Q25" i="6"/>
  <c r="T25" i="6" s="1"/>
  <c r="Q26" i="6"/>
  <c r="R26" i="6" s="1"/>
  <c r="Q27" i="6"/>
  <c r="R27" i="6" s="1"/>
  <c r="Q28" i="6"/>
  <c r="T28" i="6" s="1"/>
  <c r="Q29" i="6"/>
  <c r="R29" i="6" s="1"/>
  <c r="Q30" i="6"/>
  <c r="R30" i="6" s="1"/>
  <c r="Q31" i="6"/>
  <c r="T31" i="6" s="1"/>
  <c r="Q20" i="6"/>
  <c r="R20" i="6" s="1"/>
  <c r="P19" i="6"/>
  <c r="N19" i="6"/>
  <c r="K34" i="6"/>
  <c r="Q28" i="5"/>
  <c r="Q62" i="5"/>
  <c r="Q65" i="5"/>
  <c r="Q93" i="5"/>
  <c r="Q114" i="5"/>
  <c r="Q140" i="5"/>
  <c r="Q143" i="5"/>
  <c r="Q163" i="5"/>
  <c r="R167" i="5"/>
  <c r="U167" i="5" s="1"/>
  <c r="R166" i="5"/>
  <c r="S166" i="5" s="1"/>
  <c r="R165" i="5"/>
  <c r="U165" i="5" s="1"/>
  <c r="R164" i="5"/>
  <c r="S164" i="5" s="1"/>
  <c r="O163" i="5"/>
  <c r="R162" i="5"/>
  <c r="S162" i="5" s="1"/>
  <c r="R161" i="5"/>
  <c r="S161" i="5" s="1"/>
  <c r="R160" i="5"/>
  <c r="U160" i="5" s="1"/>
  <c r="R159" i="5"/>
  <c r="S159" i="5" s="1"/>
  <c r="R158" i="5"/>
  <c r="S158" i="5" s="1"/>
  <c r="R157" i="5"/>
  <c r="S157" i="5" s="1"/>
  <c r="R156" i="5"/>
  <c r="S156" i="5" s="1"/>
  <c r="R155" i="5"/>
  <c r="S155" i="5" s="1"/>
  <c r="R154" i="5"/>
  <c r="S154" i="5" s="1"/>
  <c r="R153" i="5"/>
  <c r="S153" i="5" s="1"/>
  <c r="R152" i="5"/>
  <c r="S152" i="5" s="1"/>
  <c r="R151" i="5"/>
  <c r="S151" i="5" s="1"/>
  <c r="R150" i="5"/>
  <c r="S150" i="5" s="1"/>
  <c r="R149" i="5"/>
  <c r="S149" i="5" s="1"/>
  <c r="R148" i="5"/>
  <c r="S148" i="5" s="1"/>
  <c r="R147" i="5"/>
  <c r="U147" i="5" s="1"/>
  <c r="R146" i="5"/>
  <c r="S146" i="5" s="1"/>
  <c r="R145" i="5"/>
  <c r="S145" i="5" s="1"/>
  <c r="R144" i="5"/>
  <c r="S144" i="5" s="1"/>
  <c r="O143" i="5"/>
  <c r="R142" i="5"/>
  <c r="U142" i="5" s="1"/>
  <c r="O142" i="5"/>
  <c r="R141" i="5"/>
  <c r="S141" i="5" s="1"/>
  <c r="O141" i="5"/>
  <c r="R139" i="5"/>
  <c r="U139" i="5" s="1"/>
  <c r="Q139" i="5"/>
  <c r="R138" i="5"/>
  <c r="U138" i="5" s="1"/>
  <c r="W138" i="5" s="1"/>
  <c r="Q138" i="5"/>
  <c r="R137" i="5"/>
  <c r="U137" i="5" s="1"/>
  <c r="W137" i="5" s="1"/>
  <c r="Q137" i="5"/>
  <c r="R136" i="5"/>
  <c r="U136" i="5" s="1"/>
  <c r="Q136" i="5"/>
  <c r="R135" i="5"/>
  <c r="S135" i="5" s="1"/>
  <c r="Q135" i="5"/>
  <c r="R134" i="5"/>
  <c r="U134" i="5" s="1"/>
  <c r="Q134" i="5"/>
  <c r="R133" i="5"/>
  <c r="U133" i="5" s="1"/>
  <c r="Q133" i="5"/>
  <c r="R132" i="5"/>
  <c r="U132" i="5" s="1"/>
  <c r="W132" i="5" s="1"/>
  <c r="Q132" i="5"/>
  <c r="R131" i="5"/>
  <c r="U131" i="5" s="1"/>
  <c r="Q131" i="5"/>
  <c r="O129" i="5"/>
  <c r="R130" i="5"/>
  <c r="U130" i="5" s="1"/>
  <c r="Q130" i="5"/>
  <c r="R128" i="5"/>
  <c r="U128" i="5" s="1"/>
  <c r="R127" i="5"/>
  <c r="S127" i="5" s="1"/>
  <c r="R126" i="5"/>
  <c r="U126" i="5" s="1"/>
  <c r="V126" i="5" s="1"/>
  <c r="R125" i="5"/>
  <c r="U125" i="5" s="1"/>
  <c r="R124" i="5"/>
  <c r="S124" i="5" s="1"/>
  <c r="R123" i="5"/>
  <c r="U123" i="5" s="1"/>
  <c r="R122" i="5"/>
  <c r="U122" i="5" s="1"/>
  <c r="R121" i="5"/>
  <c r="S121" i="5" s="1"/>
  <c r="R120" i="5"/>
  <c r="S120" i="5" s="1"/>
  <c r="R119" i="5"/>
  <c r="U119" i="5" s="1"/>
  <c r="R118" i="5"/>
  <c r="U118" i="5" s="1"/>
  <c r="W118" i="5" s="1"/>
  <c r="R117" i="5"/>
  <c r="U117" i="5" s="1"/>
  <c r="R116" i="5"/>
  <c r="U116" i="5" s="1"/>
  <c r="R115" i="5"/>
  <c r="S115" i="5" s="1"/>
  <c r="O114" i="5"/>
  <c r="R113" i="5"/>
  <c r="U113" i="5" s="1"/>
  <c r="R112" i="5"/>
  <c r="S112" i="5" s="1"/>
  <c r="R111" i="5"/>
  <c r="S111" i="5" s="1"/>
  <c r="R110" i="5"/>
  <c r="U110" i="5" s="1"/>
  <c r="R109" i="5"/>
  <c r="S109" i="5" s="1"/>
  <c r="R108" i="5"/>
  <c r="S108" i="5" s="1"/>
  <c r="R107" i="5"/>
  <c r="U107" i="5" s="1"/>
  <c r="R106" i="5"/>
  <c r="S106" i="5" s="1"/>
  <c r="R105" i="5"/>
  <c r="U105" i="5" s="1"/>
  <c r="R104" i="5"/>
  <c r="U104" i="5" s="1"/>
  <c r="R103" i="5"/>
  <c r="S103" i="5" s="1"/>
  <c r="R102" i="5"/>
  <c r="U102" i="5" s="1"/>
  <c r="R101" i="5"/>
  <c r="U101" i="5" s="1"/>
  <c r="R100" i="5"/>
  <c r="S100" i="5" s="1"/>
  <c r="R99" i="5"/>
  <c r="U99" i="5" s="1"/>
  <c r="R98" i="5"/>
  <c r="U98" i="5" s="1"/>
  <c r="R97" i="5"/>
  <c r="S97" i="5" s="1"/>
  <c r="R96" i="5"/>
  <c r="U96" i="5" s="1"/>
  <c r="R95" i="5"/>
  <c r="U95" i="5" s="1"/>
  <c r="O93" i="5"/>
  <c r="R94" i="5"/>
  <c r="S94" i="5" s="1"/>
  <c r="R92" i="5"/>
  <c r="U92" i="5" s="1"/>
  <c r="R91" i="5"/>
  <c r="S91" i="5" s="1"/>
  <c r="R90" i="5"/>
  <c r="S90" i="5" s="1"/>
  <c r="R89" i="5"/>
  <c r="U89" i="5" s="1"/>
  <c r="R88" i="5"/>
  <c r="U88" i="5" s="1"/>
  <c r="R87" i="5"/>
  <c r="S87" i="5" s="1"/>
  <c r="R86" i="5"/>
  <c r="U86" i="5" s="1"/>
  <c r="R85" i="5"/>
  <c r="S85" i="5" s="1"/>
  <c r="R84" i="5"/>
  <c r="U84" i="5" s="1"/>
  <c r="R83" i="5"/>
  <c r="U83" i="5" s="1"/>
  <c r="R82" i="5"/>
  <c r="S82" i="5" s="1"/>
  <c r="R81" i="5"/>
  <c r="U81" i="5" s="1"/>
  <c r="R80" i="5"/>
  <c r="U80" i="5" s="1"/>
  <c r="R79" i="5"/>
  <c r="S79" i="5" s="1"/>
  <c r="R78" i="5"/>
  <c r="U78" i="5" s="1"/>
  <c r="R77" i="5"/>
  <c r="U77" i="5" s="1"/>
  <c r="R76" i="5"/>
  <c r="S76" i="5" s="1"/>
  <c r="R75" i="5"/>
  <c r="U75" i="5" s="1"/>
  <c r="R74" i="5"/>
  <c r="U74" i="5" s="1"/>
  <c r="R73" i="5"/>
  <c r="S73" i="5" s="1"/>
  <c r="R72" i="5"/>
  <c r="U72" i="5" s="1"/>
  <c r="R71" i="5"/>
  <c r="U71" i="5" s="1"/>
  <c r="R70" i="5"/>
  <c r="S70" i="5" s="1"/>
  <c r="R69" i="5"/>
  <c r="U69" i="5" s="1"/>
  <c r="R68" i="5"/>
  <c r="U68" i="5" s="1"/>
  <c r="R67" i="5"/>
  <c r="S67" i="5" s="1"/>
  <c r="R66" i="5"/>
  <c r="U66" i="5" s="1"/>
  <c r="O65" i="5"/>
  <c r="R64" i="5"/>
  <c r="U64" i="5" s="1"/>
  <c r="R63" i="5"/>
  <c r="S63" i="5" s="1"/>
  <c r="O62" i="5"/>
  <c r="R61" i="5"/>
  <c r="U61" i="5" s="1"/>
  <c r="R60" i="5"/>
  <c r="S60" i="5" s="1"/>
  <c r="R59" i="5"/>
  <c r="U59" i="5" s="1"/>
  <c r="R58" i="5"/>
  <c r="S58" i="5" s="1"/>
  <c r="R57" i="5"/>
  <c r="S57" i="5" s="1"/>
  <c r="R56" i="5"/>
  <c r="U56" i="5" s="1"/>
  <c r="O55" i="5"/>
  <c r="R54" i="5"/>
  <c r="U54" i="5" s="1"/>
  <c r="R53" i="5"/>
  <c r="S53" i="5" s="1"/>
  <c r="R52" i="5"/>
  <c r="U52" i="5" s="1"/>
  <c r="R51" i="5"/>
  <c r="U51" i="5" s="1"/>
  <c r="R50" i="5"/>
  <c r="S50" i="5" s="1"/>
  <c r="R49" i="5"/>
  <c r="U49" i="5" s="1"/>
  <c r="R48" i="5"/>
  <c r="U48" i="5" s="1"/>
  <c r="R47" i="5"/>
  <c r="S47" i="5" s="1"/>
  <c r="R46" i="5"/>
  <c r="U46" i="5" s="1"/>
  <c r="R45" i="5"/>
  <c r="U45" i="5" s="1"/>
  <c r="R44" i="5"/>
  <c r="S44" i="5" s="1"/>
  <c r="R43" i="5"/>
  <c r="U43" i="5" s="1"/>
  <c r="R42" i="5"/>
  <c r="U42" i="5" s="1"/>
  <c r="R41" i="5"/>
  <c r="S41" i="5" s="1"/>
  <c r="R40" i="5"/>
  <c r="U40" i="5" s="1"/>
  <c r="R39" i="5"/>
  <c r="U39" i="5" s="1"/>
  <c r="R38" i="5"/>
  <c r="S38" i="5" s="1"/>
  <c r="R37" i="5"/>
  <c r="U37" i="5" s="1"/>
  <c r="R36" i="5"/>
  <c r="U36" i="5" s="1"/>
  <c r="R35" i="5"/>
  <c r="S35" i="5" s="1"/>
  <c r="R34" i="5"/>
  <c r="U34" i="5" s="1"/>
  <c r="R33" i="5"/>
  <c r="U33" i="5" s="1"/>
  <c r="R32" i="5"/>
  <c r="U32" i="5" s="1"/>
  <c r="R31" i="5"/>
  <c r="U31" i="5" s="1"/>
  <c r="R30" i="5"/>
  <c r="U30" i="5" s="1"/>
  <c r="O28" i="5"/>
  <c r="R29" i="5"/>
  <c r="U29" i="5" s="1"/>
  <c r="R21" i="5"/>
  <c r="S21" i="5" s="1"/>
  <c r="O19" i="5"/>
  <c r="R22" i="5"/>
  <c r="S22" i="5" s="1"/>
  <c r="R23" i="5"/>
  <c r="S23" i="5" s="1"/>
  <c r="R24" i="5"/>
  <c r="S24" i="5" s="1"/>
  <c r="R25" i="5"/>
  <c r="U25" i="5" s="1"/>
  <c r="R26" i="5"/>
  <c r="S26" i="5" s="1"/>
  <c r="R27" i="5"/>
  <c r="S27" i="5" s="1"/>
  <c r="R20" i="5"/>
  <c r="S20" i="5" s="1"/>
  <c r="P19" i="4"/>
  <c r="P32" i="4"/>
  <c r="Q111" i="4"/>
  <c r="T111" i="4" s="1"/>
  <c r="Q110" i="4"/>
  <c r="R110" i="4" s="1"/>
  <c r="Q109" i="4"/>
  <c r="T109" i="4" s="1"/>
  <c r="Q108" i="4"/>
  <c r="T108" i="4" s="1"/>
  <c r="Q107" i="4"/>
  <c r="R107" i="4" s="1"/>
  <c r="Q106" i="4"/>
  <c r="T106" i="4" s="1"/>
  <c r="Q105" i="4"/>
  <c r="T105" i="4" s="1"/>
  <c r="Q104" i="4"/>
  <c r="R104" i="4" s="1"/>
  <c r="Q103" i="4"/>
  <c r="T103" i="4" s="1"/>
  <c r="Q102" i="4"/>
  <c r="T102" i="4" s="1"/>
  <c r="Q101" i="4"/>
  <c r="R101" i="4" s="1"/>
  <c r="Q100" i="4"/>
  <c r="T100" i="4" s="1"/>
  <c r="Q99" i="4"/>
  <c r="T99" i="4" s="1"/>
  <c r="Q98" i="4"/>
  <c r="R98" i="4" s="1"/>
  <c r="Q97" i="4"/>
  <c r="T97" i="4" s="1"/>
  <c r="Q96" i="4"/>
  <c r="R96" i="4" s="1"/>
  <c r="Q95" i="4"/>
  <c r="R95" i="4" s="1"/>
  <c r="Q94" i="4"/>
  <c r="T94" i="4" s="1"/>
  <c r="Q93" i="4"/>
  <c r="T93" i="4" s="1"/>
  <c r="Q92" i="4"/>
  <c r="R92" i="4" s="1"/>
  <c r="Q91" i="4"/>
  <c r="T91" i="4" s="1"/>
  <c r="Q90" i="4"/>
  <c r="T90" i="4" s="1"/>
  <c r="Q89" i="4"/>
  <c r="R89" i="4" s="1"/>
  <c r="Q88" i="4"/>
  <c r="T88" i="4" s="1"/>
  <c r="Q87" i="4"/>
  <c r="Q86" i="4"/>
  <c r="R86" i="4" s="1"/>
  <c r="Q85" i="4"/>
  <c r="T85" i="4" s="1"/>
  <c r="Q84" i="4"/>
  <c r="Q83" i="4"/>
  <c r="R83" i="4" s="1"/>
  <c r="Q82" i="4"/>
  <c r="T82" i="4" s="1"/>
  <c r="Q81" i="4"/>
  <c r="Q80" i="4"/>
  <c r="R80" i="4" s="1"/>
  <c r="Q79" i="4"/>
  <c r="T79" i="4" s="1"/>
  <c r="V79" i="4" s="1"/>
  <c r="Q78" i="4"/>
  <c r="Q77" i="4"/>
  <c r="R77" i="4" s="1"/>
  <c r="Q76" i="4"/>
  <c r="T76" i="4" s="1"/>
  <c r="V76" i="4" s="1"/>
  <c r="Q75" i="4"/>
  <c r="Q74" i="4"/>
  <c r="T74" i="4" s="1"/>
  <c r="V74" i="4" s="1"/>
  <c r="Q73" i="4"/>
  <c r="T73" i="4" s="1"/>
  <c r="Q72" i="4"/>
  <c r="Q71" i="4"/>
  <c r="R71" i="4" s="1"/>
  <c r="Q70" i="4"/>
  <c r="T70" i="4" s="1"/>
  <c r="Q69" i="4"/>
  <c r="Q68" i="4"/>
  <c r="T68" i="4" s="1"/>
  <c r="V68" i="4" s="1"/>
  <c r="Q67" i="4"/>
  <c r="T67" i="4" s="1"/>
  <c r="V67" i="4" s="1"/>
  <c r="Q66" i="4"/>
  <c r="Q65" i="4"/>
  <c r="T65" i="4" s="1"/>
  <c r="V65" i="4" s="1"/>
  <c r="Q64" i="4"/>
  <c r="T64" i="4" s="1"/>
  <c r="Q63" i="4"/>
  <c r="Q62" i="4"/>
  <c r="R62" i="4" s="1"/>
  <c r="Q61" i="4"/>
  <c r="T61" i="4" s="1"/>
  <c r="Q60" i="4"/>
  <c r="Q59" i="4"/>
  <c r="T59" i="4" s="1"/>
  <c r="V59" i="4" s="1"/>
  <c r="Q58" i="4"/>
  <c r="T58" i="4" s="1"/>
  <c r="Q57" i="4"/>
  <c r="Q56" i="4"/>
  <c r="T56" i="4" s="1"/>
  <c r="V56" i="4" s="1"/>
  <c r="Q55" i="4"/>
  <c r="T55" i="4" s="1"/>
  <c r="Q54" i="4"/>
  <c r="Q53" i="4"/>
  <c r="T53" i="4" s="1"/>
  <c r="V53" i="4" s="1"/>
  <c r="Q52" i="4"/>
  <c r="R52" i="4" s="1"/>
  <c r="Q51" i="4"/>
  <c r="Q50" i="4"/>
  <c r="R50" i="4" s="1"/>
  <c r="Q49" i="4"/>
  <c r="T49" i="4" s="1"/>
  <c r="Q48" i="4"/>
  <c r="Q47" i="4"/>
  <c r="R47" i="4" s="1"/>
  <c r="Q46" i="4"/>
  <c r="T46" i="4" s="1"/>
  <c r="V46" i="4" s="1"/>
  <c r="Q45" i="4"/>
  <c r="Q44" i="4"/>
  <c r="R44" i="4" s="1"/>
  <c r="Q43" i="4"/>
  <c r="T43" i="4" s="1"/>
  <c r="V43" i="4" s="1"/>
  <c r="Q42" i="4"/>
  <c r="Q41" i="4"/>
  <c r="R41" i="4" s="1"/>
  <c r="Q40" i="4"/>
  <c r="T40" i="4" s="1"/>
  <c r="V40" i="4" s="1"/>
  <c r="Q39" i="4"/>
  <c r="Q38" i="4"/>
  <c r="R38" i="4" s="1"/>
  <c r="N37" i="4"/>
  <c r="Q36" i="4"/>
  <c r="T36" i="4" s="1"/>
  <c r="Q35" i="4"/>
  <c r="R35" i="4" s="1"/>
  <c r="Q34" i="4"/>
  <c r="T34" i="4" s="1"/>
  <c r="Q33" i="4"/>
  <c r="T33" i="4" s="1"/>
  <c r="N32" i="4"/>
  <c r="Q31" i="4"/>
  <c r="T31" i="4" s="1"/>
  <c r="Q30" i="4"/>
  <c r="T30" i="4" s="1"/>
  <c r="Q29" i="4"/>
  <c r="R29" i="4" s="1"/>
  <c r="Q28" i="4"/>
  <c r="T28" i="4" s="1"/>
  <c r="Q27" i="4"/>
  <c r="T27" i="4" s="1"/>
  <c r="Q26" i="4"/>
  <c r="R26" i="4" s="1"/>
  <c r="Q25" i="4"/>
  <c r="T25" i="4" s="1"/>
  <c r="Q24" i="4"/>
  <c r="T24" i="4" s="1"/>
  <c r="Q23" i="4"/>
  <c r="T23" i="4" s="1"/>
  <c r="V23" i="4" s="1"/>
  <c r="Q22" i="4"/>
  <c r="T22" i="4" s="1"/>
  <c r="Q21" i="4"/>
  <c r="T21" i="4" s="1"/>
  <c r="Q20" i="4"/>
  <c r="T20" i="4" s="1"/>
  <c r="N19" i="4"/>
  <c r="Q35" i="3"/>
  <c r="R35" i="3" s="1"/>
  <c r="P34" i="3"/>
  <c r="N34" i="3"/>
  <c r="Q33" i="3"/>
  <c r="R33" i="3" s="1"/>
  <c r="N29" i="3"/>
  <c r="Q32" i="3"/>
  <c r="T32" i="3" s="1"/>
  <c r="Q31" i="3"/>
  <c r="T31" i="3" s="1"/>
  <c r="Q30" i="3"/>
  <c r="R30" i="3" s="1"/>
  <c r="P29" i="3"/>
  <c r="Q28" i="3"/>
  <c r="R28" i="3" s="1"/>
  <c r="Q27" i="3"/>
  <c r="R27" i="3" s="1"/>
  <c r="N25" i="3"/>
  <c r="N18" i="3" s="1"/>
  <c r="AQ16" i="2" s="1"/>
  <c r="Q26" i="3"/>
  <c r="T26" i="3" s="1"/>
  <c r="P25" i="3"/>
  <c r="Q21" i="3"/>
  <c r="R21" i="3" s="1"/>
  <c r="T21" i="3"/>
  <c r="U21" i="3" s="1"/>
  <c r="Q22" i="3"/>
  <c r="R22" i="3" s="1"/>
  <c r="T22" i="3"/>
  <c r="U22" i="3" s="1"/>
  <c r="Q23" i="3"/>
  <c r="T23" i="3" s="1"/>
  <c r="Q24" i="3"/>
  <c r="R24" i="3" s="1"/>
  <c r="Q20" i="3"/>
  <c r="R20" i="3" s="1"/>
  <c r="P19" i="3"/>
  <c r="N19" i="3"/>
  <c r="AM11" i="2" l="1"/>
  <c r="AM10" i="2" s="1"/>
  <c r="AP10" i="2" s="1"/>
  <c r="N19" i="9"/>
  <c r="N18" i="9" s="1"/>
  <c r="AQ22" i="2" s="1"/>
  <c r="N20" i="8"/>
  <c r="AQ21" i="2" s="1"/>
  <c r="S34" i="6"/>
  <c r="T26" i="4"/>
  <c r="V26" i="4" s="1"/>
  <c r="M19" i="11"/>
  <c r="M18" i="11" s="1"/>
  <c r="AL12" i="2" s="1"/>
  <c r="AN12" i="2" s="1"/>
  <c r="T21" i="9"/>
  <c r="U21" i="9" s="1"/>
  <c r="U108" i="5"/>
  <c r="W108" i="5" s="1"/>
  <c r="R30" i="4"/>
  <c r="W85" i="11"/>
  <c r="T95" i="4"/>
  <c r="V95" i="4" s="1"/>
  <c r="T83" i="4"/>
  <c r="V83" i="4" s="1"/>
  <c r="N16" i="16"/>
  <c r="AR25" i="2" s="1"/>
  <c r="T23" i="16"/>
  <c r="P28" i="1"/>
  <c r="Q28" i="1" s="1"/>
  <c r="T30" i="7"/>
  <c r="U30" i="7" s="1"/>
  <c r="P20" i="8"/>
  <c r="AR21" i="2" s="1"/>
  <c r="S50" i="16"/>
  <c r="Q62" i="16"/>
  <c r="P61" i="16"/>
  <c r="S31" i="16"/>
  <c r="Q45" i="16"/>
  <c r="P44" i="16"/>
  <c r="Q32" i="16"/>
  <c r="P31" i="16"/>
  <c r="T28" i="16"/>
  <c r="S28" i="16"/>
  <c r="S34" i="16"/>
  <c r="S21" i="16"/>
  <c r="T21" i="16"/>
  <c r="Q35" i="16"/>
  <c r="P34" i="16"/>
  <c r="S59" i="16"/>
  <c r="S22" i="16"/>
  <c r="T22" i="16"/>
  <c r="S56" i="16"/>
  <c r="P38" i="16"/>
  <c r="P18" i="16"/>
  <c r="T42" i="16"/>
  <c r="S42" i="16"/>
  <c r="T39" i="16"/>
  <c r="S39" i="16"/>
  <c r="T85" i="11"/>
  <c r="U85" i="11" s="1"/>
  <c r="V86" i="11"/>
  <c r="T86" i="11"/>
  <c r="U86" i="11" s="1"/>
  <c r="R31" i="7"/>
  <c r="R49" i="7"/>
  <c r="T32" i="7"/>
  <c r="U32" i="7" s="1"/>
  <c r="R28" i="7"/>
  <c r="R27" i="7"/>
  <c r="R25" i="6"/>
  <c r="T27" i="6"/>
  <c r="U27" i="6" s="1"/>
  <c r="T26" i="6"/>
  <c r="U26" i="6" s="1"/>
  <c r="T30" i="3"/>
  <c r="V30" i="3" s="1"/>
  <c r="R23" i="3"/>
  <c r="P18" i="3"/>
  <c r="AR16" i="2" s="1"/>
  <c r="T28" i="3"/>
  <c r="V28" i="3" s="1"/>
  <c r="T35" i="3"/>
  <c r="V35" i="3" s="1"/>
  <c r="T20" i="3"/>
  <c r="V20" i="3" s="1"/>
  <c r="T24" i="3"/>
  <c r="T33" i="3"/>
  <c r="V33" i="3" s="1"/>
  <c r="R34" i="3"/>
  <c r="R43" i="4"/>
  <c r="R46" i="4"/>
  <c r="R74" i="4"/>
  <c r="U46" i="4"/>
  <c r="T44" i="4"/>
  <c r="V44" i="4" s="1"/>
  <c r="N18" i="4"/>
  <c r="AQ17" i="2" s="1"/>
  <c r="V49" i="4"/>
  <c r="U49" i="4"/>
  <c r="V55" i="4"/>
  <c r="U55" i="4"/>
  <c r="U58" i="4"/>
  <c r="V58" i="4"/>
  <c r="V61" i="4"/>
  <c r="U61" i="4"/>
  <c r="U82" i="4"/>
  <c r="V82" i="4"/>
  <c r="R24" i="4"/>
  <c r="R23" i="4"/>
  <c r="T38" i="4"/>
  <c r="V38" i="4" s="1"/>
  <c r="R49" i="4"/>
  <c r="T50" i="4"/>
  <c r="V50" i="4" s="1"/>
  <c r="T52" i="4"/>
  <c r="R55" i="4"/>
  <c r="R56" i="4"/>
  <c r="T71" i="4"/>
  <c r="V71" i="4" s="1"/>
  <c r="R76" i="4"/>
  <c r="R91" i="4"/>
  <c r="R40" i="4"/>
  <c r="R53" i="4"/>
  <c r="T104" i="4"/>
  <c r="V104" i="4" s="1"/>
  <c r="R21" i="4"/>
  <c r="T29" i="4"/>
  <c r="U29" i="4" s="1"/>
  <c r="T35" i="4"/>
  <c r="V35" i="4" s="1"/>
  <c r="R58" i="4"/>
  <c r="R59" i="4"/>
  <c r="R27" i="4"/>
  <c r="T41" i="4"/>
  <c r="V41" i="4" s="1"/>
  <c r="R61" i="4"/>
  <c r="T62" i="4"/>
  <c r="V62" i="4" s="1"/>
  <c r="R67" i="4"/>
  <c r="R82" i="4"/>
  <c r="R100" i="4"/>
  <c r="R65" i="4"/>
  <c r="Q129" i="5"/>
  <c r="U161" i="5"/>
  <c r="W161" i="5" s="1"/>
  <c r="U57" i="5"/>
  <c r="W57" i="5" s="1"/>
  <c r="U115" i="5"/>
  <c r="W115" i="5" s="1"/>
  <c r="S126" i="5"/>
  <c r="S138" i="5"/>
  <c r="S165" i="5"/>
  <c r="U20" i="5"/>
  <c r="W20" i="5" s="1"/>
  <c r="S137" i="5"/>
  <c r="O140" i="5"/>
  <c r="O18" i="5" s="1"/>
  <c r="AQ18" i="2" s="1"/>
  <c r="N18" i="6"/>
  <c r="AQ19" i="2" s="1"/>
  <c r="R31" i="6"/>
  <c r="T30" i="6"/>
  <c r="U30" i="6" s="1"/>
  <c r="T21" i="6"/>
  <c r="U21" i="6" s="1"/>
  <c r="T29" i="6"/>
  <c r="R22" i="6"/>
  <c r="R46" i="7"/>
  <c r="P18" i="6"/>
  <c r="AR19" i="2" s="1"/>
  <c r="R28" i="6"/>
  <c r="T24" i="6"/>
  <c r="U24" i="6" s="1"/>
  <c r="V26" i="6"/>
  <c r="T20" i="6"/>
  <c r="V20" i="6" s="1"/>
  <c r="V85" i="4"/>
  <c r="U85" i="4"/>
  <c r="V70" i="4"/>
  <c r="U70" i="4"/>
  <c r="V64" i="4"/>
  <c r="U64" i="4"/>
  <c r="V73" i="4"/>
  <c r="U73" i="4"/>
  <c r="R68" i="4"/>
  <c r="R85" i="4"/>
  <c r="T92" i="4"/>
  <c r="V92" i="4" s="1"/>
  <c r="R97" i="4"/>
  <c r="T110" i="4"/>
  <c r="V110" i="4" s="1"/>
  <c r="R64" i="4"/>
  <c r="U67" i="4"/>
  <c r="R73" i="4"/>
  <c r="U76" i="4"/>
  <c r="T80" i="4"/>
  <c r="V80" i="4" s="1"/>
  <c r="T89" i="4"/>
  <c r="V89" i="4" s="1"/>
  <c r="R94" i="4"/>
  <c r="T107" i="4"/>
  <c r="V107" i="4" s="1"/>
  <c r="T77" i="4"/>
  <c r="V77" i="4" s="1"/>
  <c r="T86" i="4"/>
  <c r="V86" i="4" s="1"/>
  <c r="R109" i="4"/>
  <c r="P37" i="4"/>
  <c r="P18" i="4" s="1"/>
  <c r="AR17" i="2" s="1"/>
  <c r="R70" i="4"/>
  <c r="R79" i="4"/>
  <c r="R88" i="4"/>
  <c r="T101" i="4"/>
  <c r="V101" i="4" s="1"/>
  <c r="R106" i="4"/>
  <c r="T98" i="4"/>
  <c r="V98" i="4" s="1"/>
  <c r="R103" i="4"/>
  <c r="T47" i="4"/>
  <c r="V47" i="4" s="1"/>
  <c r="S29" i="5"/>
  <c r="S88" i="5"/>
  <c r="U90" i="5"/>
  <c r="U127" i="5"/>
  <c r="W127" i="5" s="1"/>
  <c r="S132" i="5"/>
  <c r="U26" i="5"/>
  <c r="W117" i="5"/>
  <c r="V117" i="5"/>
  <c r="W123" i="5"/>
  <c r="V123" i="5"/>
  <c r="V131" i="5"/>
  <c r="W131" i="5"/>
  <c r="W134" i="5"/>
  <c r="V134" i="5"/>
  <c r="U112" i="5"/>
  <c r="W112" i="5" s="1"/>
  <c r="S117" i="5"/>
  <c r="S118" i="5"/>
  <c r="S123" i="5"/>
  <c r="V137" i="5"/>
  <c r="U111" i="5"/>
  <c r="U50" i="5"/>
  <c r="W50" i="5" s="1"/>
  <c r="U120" i="5"/>
  <c r="W126" i="5"/>
  <c r="S131" i="5"/>
  <c r="U146" i="5"/>
  <c r="W146" i="5" s="1"/>
  <c r="U149" i="5"/>
  <c r="W149" i="5" s="1"/>
  <c r="U152" i="5"/>
  <c r="W152" i="5" s="1"/>
  <c r="U155" i="5"/>
  <c r="W155" i="5" s="1"/>
  <c r="U158" i="5"/>
  <c r="W158" i="5" s="1"/>
  <c r="U124" i="5"/>
  <c r="W124" i="5" s="1"/>
  <c r="S134" i="5"/>
  <c r="U148" i="5"/>
  <c r="U154" i="5"/>
  <c r="U135" i="5"/>
  <c r="W135" i="5" s="1"/>
  <c r="S32" i="5"/>
  <c r="U87" i="5"/>
  <c r="U121" i="5"/>
  <c r="W121" i="5" s="1"/>
  <c r="U145" i="5"/>
  <c r="U151" i="5"/>
  <c r="U157" i="5"/>
  <c r="U166" i="5"/>
  <c r="W166" i="5" s="1"/>
  <c r="U60" i="5"/>
  <c r="W60" i="5" s="1"/>
  <c r="S59" i="5"/>
  <c r="Q55" i="5"/>
  <c r="S56" i="5"/>
  <c r="U27" i="5"/>
  <c r="V27" i="5" s="1"/>
  <c r="S25" i="5"/>
  <c r="Q19" i="5"/>
  <c r="U24" i="5"/>
  <c r="V24" i="5" s="1"/>
  <c r="U23" i="5"/>
  <c r="U22" i="5"/>
  <c r="U21" i="5"/>
  <c r="V21" i="5" s="1"/>
  <c r="T23" i="7"/>
  <c r="U23" i="7" s="1"/>
  <c r="T36" i="7"/>
  <c r="V36" i="7" s="1"/>
  <c r="R25" i="7"/>
  <c r="R65" i="7"/>
  <c r="N20" i="7"/>
  <c r="AQ20" i="2" s="1"/>
  <c r="U35" i="7"/>
  <c r="V35" i="7"/>
  <c r="T50" i="7"/>
  <c r="V50" i="7" s="1"/>
  <c r="T26" i="7"/>
  <c r="U26" i="7" s="1"/>
  <c r="R35" i="7"/>
  <c r="R39" i="7"/>
  <c r="R61" i="7"/>
  <c r="T24" i="7"/>
  <c r="U24" i="7" s="1"/>
  <c r="U46" i="7"/>
  <c r="T29" i="7"/>
  <c r="U29" i="7" s="1"/>
  <c r="T47" i="7"/>
  <c r="V47" i="7" s="1"/>
  <c r="P27" i="1"/>
  <c r="Q27" i="1" s="1"/>
  <c r="R29" i="1"/>
  <c r="P31" i="1"/>
  <c r="Q31" i="1" s="1"/>
  <c r="P25" i="1"/>
  <c r="Q25" i="1" s="1"/>
  <c r="P21" i="1"/>
  <c r="Q21" i="1" s="1"/>
  <c r="P24" i="1"/>
  <c r="Q24" i="1" s="1"/>
  <c r="P22" i="1"/>
  <c r="Q22" i="1" s="1"/>
  <c r="R30" i="1"/>
  <c r="S30" i="1" s="1"/>
  <c r="R26" i="1"/>
  <c r="R23" i="1"/>
  <c r="S31" i="1"/>
  <c r="T31" i="1"/>
  <c r="S22" i="1"/>
  <c r="T22" i="1"/>
  <c r="S28" i="1"/>
  <c r="T28" i="1"/>
  <c r="S25" i="1"/>
  <c r="T25" i="1"/>
  <c r="T27" i="1"/>
  <c r="T24" i="1"/>
  <c r="T21" i="1"/>
  <c r="T20" i="1"/>
  <c r="S20" i="1"/>
  <c r="P20" i="1"/>
  <c r="U22" i="9"/>
  <c r="V22" i="9"/>
  <c r="V20" i="9"/>
  <c r="U20" i="9"/>
  <c r="R20" i="9"/>
  <c r="R19" i="9" s="1"/>
  <c r="R18" i="9" s="1"/>
  <c r="AS22" i="2" s="1"/>
  <c r="V27" i="8"/>
  <c r="U27" i="8"/>
  <c r="V28" i="8"/>
  <c r="U28" i="8"/>
  <c r="V30" i="8"/>
  <c r="U30" i="8"/>
  <c r="T26" i="8"/>
  <c r="R27" i="8"/>
  <c r="T29" i="8"/>
  <c r="R30" i="8"/>
  <c r="R28" i="8"/>
  <c r="V24" i="8"/>
  <c r="U24" i="8"/>
  <c r="U23" i="8" s="1"/>
  <c r="R24" i="8"/>
  <c r="V22" i="8"/>
  <c r="U22" i="8"/>
  <c r="U21" i="8" s="1"/>
  <c r="R22" i="8"/>
  <c r="R21" i="8" s="1"/>
  <c r="P20" i="7"/>
  <c r="AR20" i="2" s="1"/>
  <c r="V65" i="7"/>
  <c r="U65" i="7"/>
  <c r="V66" i="7"/>
  <c r="U66" i="7"/>
  <c r="R66" i="7"/>
  <c r="V60" i="7"/>
  <c r="U60" i="7"/>
  <c r="U61" i="7"/>
  <c r="V61" i="7"/>
  <c r="V63" i="7"/>
  <c r="U63" i="7"/>
  <c r="T59" i="7"/>
  <c r="R60" i="7"/>
  <c r="T62" i="7"/>
  <c r="R63" i="7"/>
  <c r="V54" i="7"/>
  <c r="U54" i="7"/>
  <c r="U55" i="7"/>
  <c r="V55" i="7"/>
  <c r="V57" i="7"/>
  <c r="U57" i="7"/>
  <c r="T53" i="7"/>
  <c r="R54" i="7"/>
  <c r="T56" i="7"/>
  <c r="R57" i="7"/>
  <c r="R55" i="7"/>
  <c r="U49" i="7"/>
  <c r="V49" i="7"/>
  <c r="V48" i="7"/>
  <c r="U48" i="7"/>
  <c r="V51" i="7"/>
  <c r="U51" i="7"/>
  <c r="R48" i="7"/>
  <c r="R51" i="7"/>
  <c r="U42" i="7"/>
  <c r="V42" i="7"/>
  <c r="V44" i="7"/>
  <c r="U44" i="7"/>
  <c r="T43" i="7"/>
  <c r="R44" i="7"/>
  <c r="R42" i="7"/>
  <c r="V40" i="7"/>
  <c r="U40" i="7"/>
  <c r="V39" i="7"/>
  <c r="U39" i="7"/>
  <c r="R40" i="7"/>
  <c r="V34" i="7"/>
  <c r="U34" i="7"/>
  <c r="R34" i="7"/>
  <c r="T37" i="7"/>
  <c r="V25" i="7"/>
  <c r="U25" i="7"/>
  <c r="V31" i="7"/>
  <c r="U31" i="7"/>
  <c r="U28" i="7"/>
  <c r="V28" i="7"/>
  <c r="V27" i="7"/>
  <c r="V23" i="7"/>
  <c r="V22" i="7"/>
  <c r="U22" i="7"/>
  <c r="R22" i="7"/>
  <c r="V47" i="6"/>
  <c r="U47" i="6"/>
  <c r="U46" i="6" s="1"/>
  <c r="R47" i="6"/>
  <c r="U43" i="6"/>
  <c r="V43" i="6"/>
  <c r="V45" i="6"/>
  <c r="U45" i="6"/>
  <c r="T44" i="6"/>
  <c r="R45" i="6"/>
  <c r="R43" i="6"/>
  <c r="V41" i="6"/>
  <c r="U41" i="6"/>
  <c r="T40" i="6"/>
  <c r="R41" i="6"/>
  <c r="V33" i="6"/>
  <c r="U33" i="6"/>
  <c r="V35" i="6"/>
  <c r="U35" i="6"/>
  <c r="V36" i="6"/>
  <c r="U36" i="6"/>
  <c r="V38" i="6"/>
  <c r="U38" i="6"/>
  <c r="T34" i="6"/>
  <c r="R35" i="6"/>
  <c r="T37" i="6"/>
  <c r="R38" i="6"/>
  <c r="R33" i="6"/>
  <c r="R36" i="6"/>
  <c r="U31" i="6"/>
  <c r="V31" i="6"/>
  <c r="U25" i="6"/>
  <c r="V25" i="6"/>
  <c r="U28" i="6"/>
  <c r="V28" i="6"/>
  <c r="U22" i="6"/>
  <c r="V22" i="6"/>
  <c r="T23" i="6"/>
  <c r="V27" i="6"/>
  <c r="V24" i="6"/>
  <c r="W165" i="5"/>
  <c r="V165" i="5"/>
  <c r="W167" i="5"/>
  <c r="V167" i="5"/>
  <c r="S167" i="5"/>
  <c r="U164" i="5"/>
  <c r="W147" i="5"/>
  <c r="V147" i="5"/>
  <c r="W160" i="5"/>
  <c r="V160" i="5"/>
  <c r="V158" i="5"/>
  <c r="S147" i="5"/>
  <c r="U144" i="5"/>
  <c r="U150" i="5"/>
  <c r="U153" i="5"/>
  <c r="U156" i="5"/>
  <c r="U159" i="5"/>
  <c r="S160" i="5"/>
  <c r="U162" i="5"/>
  <c r="W142" i="5"/>
  <c r="V142" i="5"/>
  <c r="U141" i="5"/>
  <c r="S142" i="5"/>
  <c r="W130" i="5"/>
  <c r="V130" i="5"/>
  <c r="W139" i="5"/>
  <c r="V139" i="5"/>
  <c r="W136" i="5"/>
  <c r="V136" i="5"/>
  <c r="W133" i="5"/>
  <c r="V133" i="5"/>
  <c r="S130" i="5"/>
  <c r="S133" i="5"/>
  <c r="S136" i="5"/>
  <c r="S139" i="5"/>
  <c r="V132" i="5"/>
  <c r="V138" i="5"/>
  <c r="W116" i="5"/>
  <c r="V116" i="5"/>
  <c r="W122" i="5"/>
  <c r="V122" i="5"/>
  <c r="W125" i="5"/>
  <c r="V125" i="5"/>
  <c r="W119" i="5"/>
  <c r="V119" i="5"/>
  <c r="W128" i="5"/>
  <c r="V128" i="5"/>
  <c r="S116" i="5"/>
  <c r="S119" i="5"/>
  <c r="S122" i="5"/>
  <c r="S125" i="5"/>
  <c r="S128" i="5"/>
  <c r="V118" i="5"/>
  <c r="W98" i="5"/>
  <c r="V98" i="5"/>
  <c r="V102" i="5"/>
  <c r="W102" i="5"/>
  <c r="V96" i="5"/>
  <c r="W96" i="5"/>
  <c r="W104" i="5"/>
  <c r="V104" i="5"/>
  <c r="V105" i="5"/>
  <c r="W105" i="5"/>
  <c r="W107" i="5"/>
  <c r="V107" i="5"/>
  <c r="W110" i="5"/>
  <c r="V110" i="5"/>
  <c r="W95" i="5"/>
  <c r="V95" i="5"/>
  <c r="W99" i="5"/>
  <c r="V99" i="5"/>
  <c r="W101" i="5"/>
  <c r="V101" i="5"/>
  <c r="W113" i="5"/>
  <c r="V113" i="5"/>
  <c r="U94" i="5"/>
  <c r="S95" i="5"/>
  <c r="U97" i="5"/>
  <c r="S98" i="5"/>
  <c r="U100" i="5"/>
  <c r="S101" i="5"/>
  <c r="U103" i="5"/>
  <c r="S104" i="5"/>
  <c r="U106" i="5"/>
  <c r="S107" i="5"/>
  <c r="U109" i="5"/>
  <c r="S110" i="5"/>
  <c r="S113" i="5"/>
  <c r="S96" i="5"/>
  <c r="S99" i="5"/>
  <c r="S102" i="5"/>
  <c r="S105" i="5"/>
  <c r="W89" i="5"/>
  <c r="V89" i="5"/>
  <c r="W88" i="5"/>
  <c r="V88" i="5"/>
  <c r="W71" i="5"/>
  <c r="V71" i="5"/>
  <c r="V75" i="5"/>
  <c r="W75" i="5"/>
  <c r="W77" i="5"/>
  <c r="V77" i="5"/>
  <c r="V81" i="5"/>
  <c r="W81" i="5"/>
  <c r="W83" i="5"/>
  <c r="V83" i="5"/>
  <c r="V69" i="5"/>
  <c r="W69" i="5"/>
  <c r="V66" i="5"/>
  <c r="W66" i="5"/>
  <c r="W68" i="5"/>
  <c r="V68" i="5"/>
  <c r="V72" i="5"/>
  <c r="W72" i="5"/>
  <c r="W74" i="5"/>
  <c r="V74" i="5"/>
  <c r="V78" i="5"/>
  <c r="W78" i="5"/>
  <c r="W80" i="5"/>
  <c r="V80" i="5"/>
  <c r="W84" i="5"/>
  <c r="V84" i="5"/>
  <c r="W86" i="5"/>
  <c r="V86" i="5"/>
  <c r="W92" i="5"/>
  <c r="V92" i="5"/>
  <c r="U67" i="5"/>
  <c r="S68" i="5"/>
  <c r="U70" i="5"/>
  <c r="S71" i="5"/>
  <c r="U73" i="5"/>
  <c r="S74" i="5"/>
  <c r="U76" i="5"/>
  <c r="S77" i="5"/>
  <c r="U79" i="5"/>
  <c r="S80" i="5"/>
  <c r="U82" i="5"/>
  <c r="S83" i="5"/>
  <c r="U85" i="5"/>
  <c r="S86" i="5"/>
  <c r="S89" i="5"/>
  <c r="U91" i="5"/>
  <c r="S92" i="5"/>
  <c r="S66" i="5"/>
  <c r="S69" i="5"/>
  <c r="S72" i="5"/>
  <c r="S75" i="5"/>
  <c r="S78" i="5"/>
  <c r="S81" i="5"/>
  <c r="S84" i="5"/>
  <c r="W64" i="5"/>
  <c r="V64" i="5"/>
  <c r="U63" i="5"/>
  <c r="S64" i="5"/>
  <c r="V56" i="5"/>
  <c r="W56" i="5"/>
  <c r="W61" i="5"/>
  <c r="V61" i="5"/>
  <c r="V59" i="5"/>
  <c r="W59" i="5"/>
  <c r="S61" i="5"/>
  <c r="V60" i="5"/>
  <c r="U58" i="5"/>
  <c r="W33" i="5"/>
  <c r="V33" i="5"/>
  <c r="W37" i="5"/>
  <c r="V37" i="5"/>
  <c r="W39" i="5"/>
  <c r="V39" i="5"/>
  <c r="W43" i="5"/>
  <c r="V43" i="5"/>
  <c r="W45" i="5"/>
  <c r="V45" i="5"/>
  <c r="W49" i="5"/>
  <c r="V49" i="5"/>
  <c r="W30" i="5"/>
  <c r="V30" i="5"/>
  <c r="W32" i="5"/>
  <c r="V32" i="5"/>
  <c r="W51" i="5"/>
  <c r="V51" i="5"/>
  <c r="W29" i="5"/>
  <c r="V29" i="5"/>
  <c r="V34" i="5"/>
  <c r="W34" i="5"/>
  <c r="W36" i="5"/>
  <c r="V36" i="5"/>
  <c r="V40" i="5"/>
  <c r="W40" i="5"/>
  <c r="W42" i="5"/>
  <c r="V42" i="5"/>
  <c r="V46" i="5"/>
  <c r="W46" i="5"/>
  <c r="W48" i="5"/>
  <c r="V48" i="5"/>
  <c r="V31" i="5"/>
  <c r="W31" i="5"/>
  <c r="V52" i="5"/>
  <c r="W52" i="5"/>
  <c r="W54" i="5"/>
  <c r="V54" i="5"/>
  <c r="S30" i="5"/>
  <c r="S33" i="5"/>
  <c r="U35" i="5"/>
  <c r="S36" i="5"/>
  <c r="U38" i="5"/>
  <c r="S39" i="5"/>
  <c r="U41" i="5"/>
  <c r="S42" i="5"/>
  <c r="U44" i="5"/>
  <c r="S45" i="5"/>
  <c r="U47" i="5"/>
  <c r="S48" i="5"/>
  <c r="S51" i="5"/>
  <c r="U53" i="5"/>
  <c r="S54" i="5"/>
  <c r="S31" i="5"/>
  <c r="S34" i="5"/>
  <c r="S37" i="5"/>
  <c r="S40" i="5"/>
  <c r="S43" i="5"/>
  <c r="S46" i="5"/>
  <c r="S49" i="5"/>
  <c r="S52" i="5"/>
  <c r="V25" i="5"/>
  <c r="W25" i="5"/>
  <c r="R81" i="4"/>
  <c r="T81" i="4"/>
  <c r="V90" i="4"/>
  <c r="U90" i="4"/>
  <c r="T57" i="4"/>
  <c r="R57" i="4"/>
  <c r="T75" i="4"/>
  <c r="R75" i="4"/>
  <c r="R87" i="4"/>
  <c r="T87" i="4"/>
  <c r="U97" i="4"/>
  <c r="V97" i="4"/>
  <c r="V105" i="4"/>
  <c r="U105" i="4"/>
  <c r="T48" i="4"/>
  <c r="R48" i="4"/>
  <c r="U94" i="4"/>
  <c r="V94" i="4"/>
  <c r="V102" i="4"/>
  <c r="U102" i="4"/>
  <c r="T63" i="4"/>
  <c r="R63" i="4"/>
  <c r="U91" i="4"/>
  <c r="V91" i="4"/>
  <c r="V99" i="4"/>
  <c r="U99" i="4"/>
  <c r="V109" i="4"/>
  <c r="U109" i="4"/>
  <c r="V108" i="4"/>
  <c r="U108" i="4"/>
  <c r="T66" i="4"/>
  <c r="R66" i="4"/>
  <c r="U40" i="4"/>
  <c r="U79" i="4"/>
  <c r="R84" i="4"/>
  <c r="T84" i="4"/>
  <c r="V88" i="4"/>
  <c r="U88" i="4"/>
  <c r="V106" i="4"/>
  <c r="U106" i="4"/>
  <c r="R42" i="4"/>
  <c r="T42" i="4"/>
  <c r="V100" i="4"/>
  <c r="U100" i="4"/>
  <c r="T45" i="4"/>
  <c r="R45" i="4"/>
  <c r="R54" i="4"/>
  <c r="T54" i="4"/>
  <c r="T72" i="4"/>
  <c r="R72" i="4"/>
  <c r="T39" i="4"/>
  <c r="R39" i="4"/>
  <c r="U43" i="4"/>
  <c r="T51" i="4"/>
  <c r="R51" i="4"/>
  <c r="T60" i="4"/>
  <c r="R60" i="4"/>
  <c r="T69" i="4"/>
  <c r="R69" i="4"/>
  <c r="R78" i="4"/>
  <c r="T78" i="4"/>
  <c r="V93" i="4"/>
  <c r="U93" i="4"/>
  <c r="U103" i="4"/>
  <c r="V103" i="4"/>
  <c r="V111" i="4"/>
  <c r="U111" i="4"/>
  <c r="R90" i="4"/>
  <c r="R93" i="4"/>
  <c r="R99" i="4"/>
  <c r="R102" i="4"/>
  <c r="R105" i="4"/>
  <c r="R108" i="4"/>
  <c r="R111" i="4"/>
  <c r="U38" i="4"/>
  <c r="U47" i="4"/>
  <c r="U50" i="4"/>
  <c r="U53" i="4"/>
  <c r="U56" i="4"/>
  <c r="U59" i="4"/>
  <c r="U62" i="4"/>
  <c r="U65" i="4"/>
  <c r="U68" i="4"/>
  <c r="U71" i="4"/>
  <c r="U74" i="4"/>
  <c r="U77" i="4"/>
  <c r="U83" i="4"/>
  <c r="U92" i="4"/>
  <c r="U95" i="4"/>
  <c r="U107" i="4"/>
  <c r="T96" i="4"/>
  <c r="V33" i="4"/>
  <c r="U33" i="4"/>
  <c r="V34" i="4"/>
  <c r="U34" i="4"/>
  <c r="V36" i="4"/>
  <c r="U36" i="4"/>
  <c r="R33" i="4"/>
  <c r="R36" i="4"/>
  <c r="U35" i="4"/>
  <c r="R34" i="4"/>
  <c r="V21" i="4"/>
  <c r="U21" i="4"/>
  <c r="V24" i="4"/>
  <c r="U24" i="4"/>
  <c r="V30" i="4"/>
  <c r="U30" i="4"/>
  <c r="V27" i="4"/>
  <c r="U27" i="4"/>
  <c r="U28" i="4"/>
  <c r="V28" i="4"/>
  <c r="V22" i="4"/>
  <c r="U22" i="4"/>
  <c r="U25" i="4"/>
  <c r="V25" i="4"/>
  <c r="V31" i="4"/>
  <c r="U31" i="4"/>
  <c r="U23" i="4"/>
  <c r="U26" i="4"/>
  <c r="R22" i="4"/>
  <c r="R25" i="4"/>
  <c r="R28" i="4"/>
  <c r="V29" i="4"/>
  <c r="R31" i="4"/>
  <c r="V20" i="4"/>
  <c r="U20" i="4"/>
  <c r="R20" i="4"/>
  <c r="U35" i="3"/>
  <c r="U34" i="3" s="1"/>
  <c r="V31" i="3"/>
  <c r="U31" i="3"/>
  <c r="V32" i="3"/>
  <c r="U32" i="3"/>
  <c r="R31" i="3"/>
  <c r="U30" i="3"/>
  <c r="R32" i="3"/>
  <c r="V26" i="3"/>
  <c r="U26" i="3"/>
  <c r="R26" i="3"/>
  <c r="T27" i="3"/>
  <c r="U28" i="3"/>
  <c r="U23" i="3"/>
  <c r="V23" i="3"/>
  <c r="V22" i="3"/>
  <c r="V21" i="3"/>
  <c r="U20" i="3"/>
  <c r="P44" i="14"/>
  <c r="P52" i="14"/>
  <c r="P55" i="14"/>
  <c r="P57" i="14"/>
  <c r="P64" i="14"/>
  <c r="P87" i="14"/>
  <c r="N87" i="14"/>
  <c r="Q88" i="14"/>
  <c r="T88" i="14" s="1"/>
  <c r="Q86" i="14"/>
  <c r="T86" i="14" s="1"/>
  <c r="Q85" i="14"/>
  <c r="R85" i="14" s="1"/>
  <c r="Q84" i="14"/>
  <c r="T84" i="14" s="1"/>
  <c r="Q83" i="14"/>
  <c r="T83" i="14" s="1"/>
  <c r="Q82" i="14"/>
  <c r="R82" i="14" s="1"/>
  <c r="Q81" i="14"/>
  <c r="T81" i="14" s="1"/>
  <c r="Q80" i="14"/>
  <c r="T80" i="14" s="1"/>
  <c r="Q79" i="14"/>
  <c r="R79" i="14" s="1"/>
  <c r="Q78" i="14"/>
  <c r="T78" i="14" s="1"/>
  <c r="Q77" i="14"/>
  <c r="T77" i="14" s="1"/>
  <c r="Q76" i="14"/>
  <c r="R76" i="14" s="1"/>
  <c r="Q75" i="14"/>
  <c r="T75" i="14" s="1"/>
  <c r="Q74" i="14"/>
  <c r="T74" i="14" s="1"/>
  <c r="Q73" i="14"/>
  <c r="R73" i="14" s="1"/>
  <c r="Q72" i="14"/>
  <c r="T72" i="14" s="1"/>
  <c r="Q71" i="14"/>
  <c r="T71" i="14" s="1"/>
  <c r="Q70" i="14"/>
  <c r="R70" i="14" s="1"/>
  <c r="Q69" i="14"/>
  <c r="T69" i="14" s="1"/>
  <c r="Q68" i="14"/>
  <c r="T68" i="14" s="1"/>
  <c r="Q67" i="14"/>
  <c r="R67" i="14" s="1"/>
  <c r="Q66" i="14"/>
  <c r="T66" i="14" s="1"/>
  <c r="Q65" i="14"/>
  <c r="T65" i="14" s="1"/>
  <c r="N64" i="14"/>
  <c r="Q63" i="14"/>
  <c r="T63" i="14" s="1"/>
  <c r="Q62" i="14"/>
  <c r="R62" i="14" s="1"/>
  <c r="Q61" i="14"/>
  <c r="T61" i="14" s="1"/>
  <c r="Q60" i="14"/>
  <c r="T60" i="14" s="1"/>
  <c r="Q59" i="14"/>
  <c r="R59" i="14" s="1"/>
  <c r="Q58" i="14"/>
  <c r="T58" i="14" s="1"/>
  <c r="N57" i="14"/>
  <c r="Q56" i="14"/>
  <c r="R56" i="14" s="1"/>
  <c r="N55" i="14"/>
  <c r="Q54" i="14"/>
  <c r="T54" i="14" s="1"/>
  <c r="Q53" i="14"/>
  <c r="R53" i="14" s="1"/>
  <c r="N52" i="14"/>
  <c r="Q51" i="14"/>
  <c r="R51" i="14" s="1"/>
  <c r="Q50" i="14"/>
  <c r="R50" i="14" s="1"/>
  <c r="Q49" i="14"/>
  <c r="T49" i="14" s="1"/>
  <c r="Q48" i="14"/>
  <c r="R48" i="14" s="1"/>
  <c r="Q47" i="14"/>
  <c r="R47" i="14" s="1"/>
  <c r="Q46" i="14"/>
  <c r="T46" i="14" s="1"/>
  <c r="N44" i="14"/>
  <c r="Q45" i="14"/>
  <c r="R45" i="14" s="1"/>
  <c r="Q43" i="14"/>
  <c r="T43" i="14" s="1"/>
  <c r="Q42" i="14"/>
  <c r="R42" i="14" s="1"/>
  <c r="Q41" i="14"/>
  <c r="R41" i="14" s="1"/>
  <c r="Q40" i="14"/>
  <c r="T40" i="14" s="1"/>
  <c r="Q39" i="14"/>
  <c r="R39" i="14" s="1"/>
  <c r="Q38" i="14"/>
  <c r="R38" i="14" s="1"/>
  <c r="Q37" i="14"/>
  <c r="T37" i="14" s="1"/>
  <c r="Q36" i="14"/>
  <c r="R36" i="14" s="1"/>
  <c r="Q35" i="14"/>
  <c r="R35" i="14" s="1"/>
  <c r="Q34" i="14"/>
  <c r="T34" i="14" s="1"/>
  <c r="Q33" i="14"/>
  <c r="R33" i="14" s="1"/>
  <c r="Q32" i="14"/>
  <c r="R32" i="14" s="1"/>
  <c r="Q31" i="14"/>
  <c r="T31" i="14" s="1"/>
  <c r="Q30" i="14"/>
  <c r="R30" i="14" s="1"/>
  <c r="Q29" i="14"/>
  <c r="R29" i="14" s="1"/>
  <c r="Q28" i="14"/>
  <c r="T28" i="14" s="1"/>
  <c r="Q27" i="14"/>
  <c r="R27" i="14" s="1"/>
  <c r="Q26" i="14"/>
  <c r="R26" i="14" s="1"/>
  <c r="Q25" i="14"/>
  <c r="T25" i="14" s="1"/>
  <c r="Q24" i="14"/>
  <c r="R24" i="14" s="1"/>
  <c r="Q23" i="14"/>
  <c r="R23" i="14" s="1"/>
  <c r="Q22" i="14"/>
  <c r="T22" i="14" s="1"/>
  <c r="Q21" i="14"/>
  <c r="R21" i="14" s="1"/>
  <c r="Q20" i="14"/>
  <c r="R20" i="14" s="1"/>
  <c r="N19" i="14"/>
  <c r="V161" i="5" l="1"/>
  <c r="V30" i="7"/>
  <c r="V155" i="5"/>
  <c r="V21" i="9"/>
  <c r="U19" i="9"/>
  <c r="U18" i="9" s="1"/>
  <c r="V21" i="6"/>
  <c r="W24" i="5"/>
  <c r="V108" i="5"/>
  <c r="U86" i="4"/>
  <c r="U101" i="4"/>
  <c r="U41" i="4"/>
  <c r="V115" i="5"/>
  <c r="W27" i="5"/>
  <c r="V57" i="5"/>
  <c r="U44" i="4"/>
  <c r="S18" i="16"/>
  <c r="S44" i="16"/>
  <c r="P17" i="16"/>
  <c r="V32" i="7"/>
  <c r="V24" i="7"/>
  <c r="R21" i="7"/>
  <c r="U47" i="7"/>
  <c r="U38" i="7"/>
  <c r="P16" i="16"/>
  <c r="AS25" i="2" s="1"/>
  <c r="AT25" i="2" s="1"/>
  <c r="AV25" i="2" s="1"/>
  <c r="S38" i="16"/>
  <c r="S17" i="16" s="1"/>
  <c r="S16" i="16" s="1"/>
  <c r="R23" i="8"/>
  <c r="R25" i="8"/>
  <c r="T84" i="11"/>
  <c r="W86" i="11"/>
  <c r="W84" i="11" s="1"/>
  <c r="X86" i="11"/>
  <c r="U36" i="7"/>
  <c r="U50" i="7"/>
  <c r="V30" i="6"/>
  <c r="R19" i="3"/>
  <c r="U24" i="3"/>
  <c r="U19" i="3" s="1"/>
  <c r="V24" i="3"/>
  <c r="U33" i="3"/>
  <c r="U29" i="3" s="1"/>
  <c r="R29" i="3"/>
  <c r="R25" i="3"/>
  <c r="U98" i="4"/>
  <c r="R32" i="4"/>
  <c r="R19" i="4"/>
  <c r="U110" i="4"/>
  <c r="V52" i="4"/>
  <c r="U52" i="4"/>
  <c r="U89" i="4"/>
  <c r="U104" i="4"/>
  <c r="U32" i="4"/>
  <c r="V127" i="5"/>
  <c r="V124" i="5"/>
  <c r="V20" i="5"/>
  <c r="V135" i="5"/>
  <c r="V129" i="5" s="1"/>
  <c r="R19" i="6"/>
  <c r="R46" i="6"/>
  <c r="V29" i="6"/>
  <c r="U29" i="6"/>
  <c r="R39" i="6"/>
  <c r="R42" i="6"/>
  <c r="R32" i="6"/>
  <c r="U20" i="6"/>
  <c r="U19" i="4"/>
  <c r="U80" i="4"/>
  <c r="R37" i="4"/>
  <c r="W90" i="5"/>
  <c r="V90" i="5"/>
  <c r="V121" i="5"/>
  <c r="S19" i="5"/>
  <c r="V26" i="5"/>
  <c r="W26" i="5"/>
  <c r="W87" i="5"/>
  <c r="V87" i="5"/>
  <c r="V50" i="5"/>
  <c r="V152" i="5"/>
  <c r="W111" i="5"/>
  <c r="V111" i="5"/>
  <c r="V149" i="5"/>
  <c r="W151" i="5"/>
  <c r="V151" i="5"/>
  <c r="S93" i="5"/>
  <c r="V146" i="5"/>
  <c r="V166" i="5"/>
  <c r="W145" i="5"/>
  <c r="V145" i="5"/>
  <c r="W154" i="5"/>
  <c r="V154" i="5"/>
  <c r="S140" i="5"/>
  <c r="S129" i="5"/>
  <c r="S65" i="5"/>
  <c r="S62" i="5"/>
  <c r="W148" i="5"/>
  <c r="V148" i="5"/>
  <c r="S28" i="5"/>
  <c r="W157" i="5"/>
  <c r="V157" i="5"/>
  <c r="V112" i="5"/>
  <c r="S143" i="5"/>
  <c r="S163" i="5"/>
  <c r="W120" i="5"/>
  <c r="V120" i="5"/>
  <c r="S114" i="5"/>
  <c r="Q18" i="5"/>
  <c r="AR18" i="2" s="1"/>
  <c r="S55" i="5"/>
  <c r="V23" i="5"/>
  <c r="W23" i="5"/>
  <c r="W22" i="5"/>
  <c r="V22" i="5"/>
  <c r="W21" i="5"/>
  <c r="R33" i="7"/>
  <c r="R45" i="7"/>
  <c r="R64" i="7"/>
  <c r="U64" i="7"/>
  <c r="V26" i="7"/>
  <c r="U21" i="7"/>
  <c r="R58" i="7"/>
  <c r="V29" i="7"/>
  <c r="R38" i="7"/>
  <c r="R52" i="7"/>
  <c r="T45" i="14"/>
  <c r="V45" i="14" s="1"/>
  <c r="N18" i="14"/>
  <c r="AQ15" i="2" s="1"/>
  <c r="T51" i="14"/>
  <c r="V51" i="14" s="1"/>
  <c r="T48" i="14"/>
  <c r="V48" i="14" s="1"/>
  <c r="T23" i="14"/>
  <c r="V23" i="14" s="1"/>
  <c r="T20" i="14"/>
  <c r="T26" i="14"/>
  <c r="R41" i="7"/>
  <c r="P19" i="1"/>
  <c r="P18" i="1" s="1"/>
  <c r="AS23" i="2" s="1"/>
  <c r="AT23" i="2" s="1"/>
  <c r="AV23" i="2" s="1"/>
  <c r="T29" i="1"/>
  <c r="S29" i="1"/>
  <c r="S23" i="1"/>
  <c r="T23" i="1"/>
  <c r="S26" i="1"/>
  <c r="T26" i="1"/>
  <c r="T30" i="1"/>
  <c r="T41" i="14"/>
  <c r="V41" i="14" s="1"/>
  <c r="T35" i="14"/>
  <c r="T38" i="14"/>
  <c r="R55" i="14"/>
  <c r="T56" i="14"/>
  <c r="V56" i="14" s="1"/>
  <c r="T32" i="14"/>
  <c r="P19" i="14"/>
  <c r="P18" i="14" s="1"/>
  <c r="AR15" i="2" s="1"/>
  <c r="T29" i="14"/>
  <c r="Q20" i="1"/>
  <c r="V29" i="8"/>
  <c r="U29" i="8"/>
  <c r="V26" i="8"/>
  <c r="U26" i="8"/>
  <c r="V62" i="7"/>
  <c r="U62" i="7"/>
  <c r="V59" i="7"/>
  <c r="U59" i="7"/>
  <c r="V56" i="7"/>
  <c r="U56" i="7"/>
  <c r="V53" i="7"/>
  <c r="U53" i="7"/>
  <c r="V43" i="7"/>
  <c r="U43" i="7"/>
  <c r="U41" i="7" s="1"/>
  <c r="V37" i="7"/>
  <c r="U37" i="7"/>
  <c r="V44" i="6"/>
  <c r="U44" i="6"/>
  <c r="U42" i="6" s="1"/>
  <c r="V40" i="6"/>
  <c r="U40" i="6"/>
  <c r="U39" i="6" s="1"/>
  <c r="V37" i="6"/>
  <c r="U37" i="6"/>
  <c r="V34" i="6"/>
  <c r="U34" i="6"/>
  <c r="U23" i="6"/>
  <c r="V23" i="6"/>
  <c r="W164" i="5"/>
  <c r="V164" i="5"/>
  <c r="W159" i="5"/>
  <c r="V159" i="5"/>
  <c r="W156" i="5"/>
  <c r="V156" i="5"/>
  <c r="W144" i="5"/>
  <c r="V144" i="5"/>
  <c r="W153" i="5"/>
  <c r="V153" i="5"/>
  <c r="W162" i="5"/>
  <c r="V162" i="5"/>
  <c r="W150" i="5"/>
  <c r="V150" i="5"/>
  <c r="W141" i="5"/>
  <c r="V141" i="5"/>
  <c r="V140" i="5" s="1"/>
  <c r="W103" i="5"/>
  <c r="V103" i="5"/>
  <c r="W94" i="5"/>
  <c r="V94" i="5"/>
  <c r="W109" i="5"/>
  <c r="V109" i="5"/>
  <c r="W100" i="5"/>
  <c r="V100" i="5"/>
  <c r="W106" i="5"/>
  <c r="V106" i="5"/>
  <c r="W97" i="5"/>
  <c r="V97" i="5"/>
  <c r="W85" i="5"/>
  <c r="V85" i="5"/>
  <c r="W76" i="5"/>
  <c r="V76" i="5"/>
  <c r="W67" i="5"/>
  <c r="V67" i="5"/>
  <c r="W82" i="5"/>
  <c r="V82" i="5"/>
  <c r="W73" i="5"/>
  <c r="V73" i="5"/>
  <c r="W91" i="5"/>
  <c r="V91" i="5"/>
  <c r="W79" i="5"/>
  <c r="V79" i="5"/>
  <c r="W70" i="5"/>
  <c r="V70" i="5"/>
  <c r="W63" i="5"/>
  <c r="V63" i="5"/>
  <c r="V62" i="5" s="1"/>
  <c r="W58" i="5"/>
  <c r="V58" i="5"/>
  <c r="W44" i="5"/>
  <c r="V44" i="5"/>
  <c r="W35" i="5"/>
  <c r="V35" i="5"/>
  <c r="W53" i="5"/>
  <c r="V53" i="5"/>
  <c r="W41" i="5"/>
  <c r="V41" i="5"/>
  <c r="W47" i="5"/>
  <c r="V47" i="5"/>
  <c r="W38" i="5"/>
  <c r="V38" i="5"/>
  <c r="V39" i="4"/>
  <c r="U39" i="4"/>
  <c r="V45" i="4"/>
  <c r="U45" i="4"/>
  <c r="V63" i="4"/>
  <c r="U63" i="4"/>
  <c r="V48" i="4"/>
  <c r="U48" i="4"/>
  <c r="V51" i="4"/>
  <c r="U51" i="4"/>
  <c r="V42" i="4"/>
  <c r="U42" i="4"/>
  <c r="V57" i="4"/>
  <c r="U57" i="4"/>
  <c r="V87" i="4"/>
  <c r="U87" i="4"/>
  <c r="V60" i="4"/>
  <c r="U60" i="4"/>
  <c r="V81" i="4"/>
  <c r="U81" i="4"/>
  <c r="V54" i="4"/>
  <c r="U54" i="4"/>
  <c r="V84" i="4"/>
  <c r="U84" i="4"/>
  <c r="V96" i="4"/>
  <c r="U96" i="4"/>
  <c r="V69" i="4"/>
  <c r="U69" i="4"/>
  <c r="V78" i="4"/>
  <c r="U78" i="4"/>
  <c r="V72" i="4"/>
  <c r="U72" i="4"/>
  <c r="V66" i="4"/>
  <c r="U66" i="4"/>
  <c r="V75" i="4"/>
  <c r="U75" i="4"/>
  <c r="U27" i="3"/>
  <c r="U25" i="3" s="1"/>
  <c r="V27" i="3"/>
  <c r="V88" i="14"/>
  <c r="U88" i="14"/>
  <c r="U87" i="14" s="1"/>
  <c r="R88" i="14"/>
  <c r="U66" i="14"/>
  <c r="V66" i="14"/>
  <c r="V77" i="14"/>
  <c r="U77" i="14"/>
  <c r="V68" i="14"/>
  <c r="U68" i="14"/>
  <c r="V65" i="14"/>
  <c r="U65" i="14"/>
  <c r="V69" i="14"/>
  <c r="U69" i="14"/>
  <c r="V71" i="14"/>
  <c r="U71" i="14"/>
  <c r="V75" i="14"/>
  <c r="U75" i="14"/>
  <c r="U81" i="14"/>
  <c r="V81" i="14"/>
  <c r="V83" i="14"/>
  <c r="U83" i="14"/>
  <c r="U72" i="14"/>
  <c r="V72" i="14"/>
  <c r="V74" i="14"/>
  <c r="U74" i="14"/>
  <c r="U78" i="14"/>
  <c r="V78" i="14"/>
  <c r="V80" i="14"/>
  <c r="U80" i="14"/>
  <c r="U84" i="14"/>
  <c r="V84" i="14"/>
  <c r="V86" i="14"/>
  <c r="U86" i="14"/>
  <c r="R65" i="14"/>
  <c r="T67" i="14"/>
  <c r="R68" i="14"/>
  <c r="T70" i="14"/>
  <c r="R71" i="14"/>
  <c r="T73" i="14"/>
  <c r="R74" i="14"/>
  <c r="T76" i="14"/>
  <c r="R77" i="14"/>
  <c r="T79" i="14"/>
  <c r="R80" i="14"/>
  <c r="T82" i="14"/>
  <c r="R83" i="14"/>
  <c r="T85" i="14"/>
  <c r="R86" i="14"/>
  <c r="R66" i="14"/>
  <c r="R69" i="14"/>
  <c r="R72" i="14"/>
  <c r="R75" i="14"/>
  <c r="R78" i="14"/>
  <c r="R81" i="14"/>
  <c r="R84" i="14"/>
  <c r="V58" i="14"/>
  <c r="U58" i="14"/>
  <c r="V60" i="14"/>
  <c r="U60" i="14"/>
  <c r="V61" i="14"/>
  <c r="U61" i="14"/>
  <c r="V63" i="14"/>
  <c r="U63" i="14"/>
  <c r="T59" i="14"/>
  <c r="R60" i="14"/>
  <c r="T62" i="14"/>
  <c r="R63" i="14"/>
  <c r="R58" i="14"/>
  <c r="R61" i="14"/>
  <c r="V54" i="14"/>
  <c r="U54" i="14"/>
  <c r="T53" i="14"/>
  <c r="R54" i="14"/>
  <c r="V46" i="14"/>
  <c r="U46" i="14"/>
  <c r="V49" i="14"/>
  <c r="U49" i="14"/>
  <c r="T47" i="14"/>
  <c r="T50" i="14"/>
  <c r="R46" i="14"/>
  <c r="R49" i="14"/>
  <c r="V31" i="14"/>
  <c r="U31" i="14"/>
  <c r="V22" i="14"/>
  <c r="U22" i="14"/>
  <c r="V40" i="14"/>
  <c r="U40" i="14"/>
  <c r="V37" i="14"/>
  <c r="U37" i="14"/>
  <c r="V34" i="14"/>
  <c r="U34" i="14"/>
  <c r="V28" i="14"/>
  <c r="U28" i="14"/>
  <c r="V25" i="14"/>
  <c r="U25" i="14"/>
  <c r="V43" i="14"/>
  <c r="U43" i="14"/>
  <c r="T21" i="14"/>
  <c r="R22" i="14"/>
  <c r="T24" i="14"/>
  <c r="R25" i="14"/>
  <c r="T27" i="14"/>
  <c r="R28" i="14"/>
  <c r="T30" i="14"/>
  <c r="R31" i="14"/>
  <c r="T33" i="14"/>
  <c r="R34" i="14"/>
  <c r="T36" i="14"/>
  <c r="R37" i="14"/>
  <c r="T39" i="14"/>
  <c r="R40" i="14"/>
  <c r="T42" i="14"/>
  <c r="R43" i="14"/>
  <c r="Q19" i="13"/>
  <c r="Q43" i="13"/>
  <c r="O43" i="13"/>
  <c r="Q46" i="13"/>
  <c r="Q48" i="13"/>
  <c r="Q57" i="13"/>
  <c r="Q88" i="13"/>
  <c r="O88" i="13"/>
  <c r="R89" i="13"/>
  <c r="U89" i="13" s="1"/>
  <c r="R87" i="13"/>
  <c r="U87" i="13" s="1"/>
  <c r="R86" i="13"/>
  <c r="S86" i="13" s="1"/>
  <c r="R85" i="13"/>
  <c r="U85" i="13" s="1"/>
  <c r="R84" i="13"/>
  <c r="U84" i="13" s="1"/>
  <c r="R83" i="13"/>
  <c r="U83" i="13" s="1"/>
  <c r="R82" i="13"/>
  <c r="U82" i="13" s="1"/>
  <c r="R81" i="13"/>
  <c r="U81" i="13" s="1"/>
  <c r="R80" i="13"/>
  <c r="S80" i="13" s="1"/>
  <c r="R79" i="13"/>
  <c r="U79" i="13" s="1"/>
  <c r="W79" i="13" s="1"/>
  <c r="R78" i="13"/>
  <c r="U78" i="13" s="1"/>
  <c r="R77" i="13"/>
  <c r="S77" i="13" s="1"/>
  <c r="R76" i="13"/>
  <c r="U76" i="13" s="1"/>
  <c r="R75" i="13"/>
  <c r="U75" i="13" s="1"/>
  <c r="R74" i="13"/>
  <c r="S74" i="13" s="1"/>
  <c r="R73" i="13"/>
  <c r="S73" i="13" s="1"/>
  <c r="R72" i="13"/>
  <c r="U72" i="13" s="1"/>
  <c r="R71" i="13"/>
  <c r="S71" i="13" s="1"/>
  <c r="R70" i="13"/>
  <c r="U70" i="13" s="1"/>
  <c r="R69" i="13"/>
  <c r="U69" i="13" s="1"/>
  <c r="R68" i="13"/>
  <c r="S68" i="13" s="1"/>
  <c r="R67" i="13"/>
  <c r="S67" i="13" s="1"/>
  <c r="R66" i="13"/>
  <c r="U66" i="13" s="1"/>
  <c r="R65" i="13"/>
  <c r="S65" i="13" s="1"/>
  <c r="R64" i="13"/>
  <c r="U64" i="13" s="1"/>
  <c r="R63" i="13"/>
  <c r="U63" i="13" s="1"/>
  <c r="R62" i="13"/>
  <c r="S62" i="13" s="1"/>
  <c r="R61" i="13"/>
  <c r="S61" i="13" s="1"/>
  <c r="R60" i="13"/>
  <c r="U60" i="13" s="1"/>
  <c r="R59" i="13"/>
  <c r="S59" i="13" s="1"/>
  <c r="R58" i="13"/>
  <c r="U58" i="13" s="1"/>
  <c r="O57" i="13"/>
  <c r="R56" i="13"/>
  <c r="U56" i="13" s="1"/>
  <c r="R55" i="13"/>
  <c r="S55" i="13" s="1"/>
  <c r="R54" i="13"/>
  <c r="U54" i="13" s="1"/>
  <c r="R53" i="13"/>
  <c r="U53" i="13" s="1"/>
  <c r="R52" i="13"/>
  <c r="S52" i="13" s="1"/>
  <c r="R51" i="13"/>
  <c r="U51" i="13" s="1"/>
  <c r="R50" i="13"/>
  <c r="U50" i="13" s="1"/>
  <c r="R49" i="13"/>
  <c r="U49" i="13" s="1"/>
  <c r="O48" i="13"/>
  <c r="R47" i="13"/>
  <c r="U47" i="13" s="1"/>
  <c r="O46" i="13"/>
  <c r="R45" i="13"/>
  <c r="S45" i="13" s="1"/>
  <c r="R44" i="13"/>
  <c r="S44" i="13" s="1"/>
  <c r="R21" i="13"/>
  <c r="S21" i="13" s="1"/>
  <c r="R22" i="13"/>
  <c r="U22" i="13" s="1"/>
  <c r="R23" i="13"/>
  <c r="S23" i="13" s="1"/>
  <c r="R24" i="13"/>
  <c r="S24" i="13" s="1"/>
  <c r="R25" i="13"/>
  <c r="U25" i="13" s="1"/>
  <c r="R26" i="13"/>
  <c r="S26" i="13" s="1"/>
  <c r="R27" i="13"/>
  <c r="S27" i="13" s="1"/>
  <c r="R28" i="13"/>
  <c r="U28" i="13" s="1"/>
  <c r="R29" i="13"/>
  <c r="S29" i="13" s="1"/>
  <c r="R30" i="13"/>
  <c r="S30" i="13" s="1"/>
  <c r="R31" i="13"/>
  <c r="U31" i="13" s="1"/>
  <c r="R32" i="13"/>
  <c r="S32" i="13" s="1"/>
  <c r="R33" i="13"/>
  <c r="S33" i="13" s="1"/>
  <c r="R34" i="13"/>
  <c r="U34" i="13" s="1"/>
  <c r="R35" i="13"/>
  <c r="S35" i="13" s="1"/>
  <c r="R36" i="13"/>
  <c r="S36" i="13" s="1"/>
  <c r="R37" i="13"/>
  <c r="U37" i="13" s="1"/>
  <c r="R38" i="13"/>
  <c r="S38" i="13" s="1"/>
  <c r="R39" i="13"/>
  <c r="S39" i="13" s="1"/>
  <c r="R40" i="13"/>
  <c r="U40" i="13" s="1"/>
  <c r="R41" i="13"/>
  <c r="S41" i="13" s="1"/>
  <c r="R42" i="13"/>
  <c r="S42" i="13" s="1"/>
  <c r="R20" i="13"/>
  <c r="U20" i="13" s="1"/>
  <c r="O19" i="13"/>
  <c r="P30" i="12"/>
  <c r="P34" i="12"/>
  <c r="N34" i="12"/>
  <c r="Q35" i="12"/>
  <c r="T35" i="12" s="1"/>
  <c r="Q33" i="12"/>
  <c r="T33" i="12" s="1"/>
  <c r="Q32" i="12"/>
  <c r="R32" i="12" s="1"/>
  <c r="Q31" i="12"/>
  <c r="T31" i="12" s="1"/>
  <c r="N30" i="12"/>
  <c r="Q29" i="12"/>
  <c r="T29" i="12" s="1"/>
  <c r="Q28" i="12"/>
  <c r="R28" i="12" s="1"/>
  <c r="Q27" i="12"/>
  <c r="T27" i="12" s="1"/>
  <c r="Q26" i="12"/>
  <c r="T26" i="12" s="1"/>
  <c r="Q25" i="12"/>
  <c r="R25" i="12" s="1"/>
  <c r="Q24" i="12"/>
  <c r="T24" i="12" s="1"/>
  <c r="Q23" i="12"/>
  <c r="T23" i="12" s="1"/>
  <c r="Q22" i="12"/>
  <c r="R22" i="12" s="1"/>
  <c r="Q21" i="12"/>
  <c r="T21" i="12" s="1"/>
  <c r="P20" i="12"/>
  <c r="N20" i="12"/>
  <c r="R57" i="11"/>
  <c r="R76" i="11"/>
  <c r="R82" i="11"/>
  <c r="P82" i="11"/>
  <c r="S83" i="11"/>
  <c r="S81" i="11"/>
  <c r="V81" i="11" s="1"/>
  <c r="S80" i="11"/>
  <c r="S79" i="11"/>
  <c r="V79" i="11" s="1"/>
  <c r="S78" i="11"/>
  <c r="V78" i="11" s="1"/>
  <c r="P76" i="11"/>
  <c r="S77" i="11"/>
  <c r="S75" i="11"/>
  <c r="V75" i="11" s="1"/>
  <c r="S74" i="11"/>
  <c r="S73" i="11"/>
  <c r="V73" i="11" s="1"/>
  <c r="S72" i="11"/>
  <c r="V72" i="11" s="1"/>
  <c r="S71" i="11"/>
  <c r="S70" i="11"/>
  <c r="V70" i="11" s="1"/>
  <c r="S69" i="11"/>
  <c r="V69" i="11" s="1"/>
  <c r="S68" i="11"/>
  <c r="S67" i="11"/>
  <c r="V67" i="11" s="1"/>
  <c r="S66" i="11"/>
  <c r="V66" i="11" s="1"/>
  <c r="S65" i="11"/>
  <c r="S64" i="11"/>
  <c r="V64" i="11" s="1"/>
  <c r="S63" i="11"/>
  <c r="V63" i="11" s="1"/>
  <c r="S62" i="11"/>
  <c r="S61" i="11"/>
  <c r="V61" i="11" s="1"/>
  <c r="S60" i="11"/>
  <c r="V60" i="11" s="1"/>
  <c r="S59" i="11"/>
  <c r="S58" i="11"/>
  <c r="V58" i="11" s="1"/>
  <c r="P57" i="11"/>
  <c r="S56" i="11"/>
  <c r="V56" i="11" s="1"/>
  <c r="S55" i="11"/>
  <c r="S54" i="11"/>
  <c r="V54" i="11" s="1"/>
  <c r="S53" i="11"/>
  <c r="V53" i="11" s="1"/>
  <c r="S52" i="11"/>
  <c r="S51" i="11"/>
  <c r="V51" i="11" s="1"/>
  <c r="S50" i="11"/>
  <c r="V50" i="11" s="1"/>
  <c r="S49" i="11"/>
  <c r="S48" i="11"/>
  <c r="V48" i="11" s="1"/>
  <c r="S47" i="11"/>
  <c r="V47" i="11" s="1"/>
  <c r="S46" i="11"/>
  <c r="S45" i="11"/>
  <c r="V45" i="11" s="1"/>
  <c r="S44" i="11"/>
  <c r="V44" i="11" s="1"/>
  <c r="S43" i="11"/>
  <c r="S42" i="11"/>
  <c r="V42" i="11" s="1"/>
  <c r="R41" i="11"/>
  <c r="P41" i="11"/>
  <c r="S40" i="11"/>
  <c r="V40" i="11" s="1"/>
  <c r="S39" i="11"/>
  <c r="S38" i="11"/>
  <c r="V38" i="11" s="1"/>
  <c r="S37" i="11"/>
  <c r="V37" i="11" s="1"/>
  <c r="S36" i="11"/>
  <c r="S35" i="11"/>
  <c r="V35" i="11" s="1"/>
  <c r="S34" i="11"/>
  <c r="V34" i="11" s="1"/>
  <c r="S33" i="11"/>
  <c r="S32" i="11"/>
  <c r="V32" i="11" s="1"/>
  <c r="S31" i="11"/>
  <c r="V31" i="11" s="1"/>
  <c r="S30" i="11"/>
  <c r="S29" i="11"/>
  <c r="V29" i="11" s="1"/>
  <c r="S28" i="11"/>
  <c r="V28" i="11" s="1"/>
  <c r="S27" i="11"/>
  <c r="S26" i="11"/>
  <c r="V26" i="11" s="1"/>
  <c r="S25" i="11"/>
  <c r="V25" i="11" s="1"/>
  <c r="S24" i="11"/>
  <c r="S23" i="11"/>
  <c r="V23" i="11" s="1"/>
  <c r="S22" i="11"/>
  <c r="V22" i="11" s="1"/>
  <c r="R20" i="11"/>
  <c r="P43" i="10"/>
  <c r="N43" i="10"/>
  <c r="P48" i="10"/>
  <c r="P52" i="10"/>
  <c r="P55" i="10"/>
  <c r="P63" i="10"/>
  <c r="P77" i="10"/>
  <c r="P81" i="10"/>
  <c r="Q82" i="10"/>
  <c r="T82" i="10" s="1"/>
  <c r="N81" i="10"/>
  <c r="Q80" i="10"/>
  <c r="T80" i="10" s="1"/>
  <c r="Q79" i="10"/>
  <c r="T79" i="10" s="1"/>
  <c r="Q78" i="10"/>
  <c r="R78" i="10" s="1"/>
  <c r="N77" i="10"/>
  <c r="Q76" i="10"/>
  <c r="T76" i="10" s="1"/>
  <c r="Q75" i="10"/>
  <c r="R75" i="10" s="1"/>
  <c r="Q74" i="10"/>
  <c r="T74" i="10" s="1"/>
  <c r="Q73" i="10"/>
  <c r="T73" i="10" s="1"/>
  <c r="Q72" i="10"/>
  <c r="R72" i="10" s="1"/>
  <c r="N63" i="10"/>
  <c r="Q71" i="10"/>
  <c r="T71" i="10" s="1"/>
  <c r="Q70" i="10"/>
  <c r="T70" i="10" s="1"/>
  <c r="Q69" i="10"/>
  <c r="R69" i="10" s="1"/>
  <c r="Q68" i="10"/>
  <c r="T68" i="10" s="1"/>
  <c r="Q67" i="10"/>
  <c r="T67" i="10" s="1"/>
  <c r="Q66" i="10"/>
  <c r="R66" i="10" s="1"/>
  <c r="Q65" i="10"/>
  <c r="T65" i="10" s="1"/>
  <c r="Q64" i="10"/>
  <c r="T64" i="10" s="1"/>
  <c r="Q62" i="10"/>
  <c r="T62" i="10" s="1"/>
  <c r="Q61" i="10"/>
  <c r="R61" i="10" s="1"/>
  <c r="Q60" i="10"/>
  <c r="T60" i="10" s="1"/>
  <c r="Q59" i="10"/>
  <c r="T59" i="10" s="1"/>
  <c r="Q58" i="10"/>
  <c r="R58" i="10" s="1"/>
  <c r="Q57" i="10"/>
  <c r="T57" i="10" s="1"/>
  <c r="Q56" i="10"/>
  <c r="T56" i="10" s="1"/>
  <c r="N55" i="10"/>
  <c r="Q54" i="10"/>
  <c r="T54" i="10" s="1"/>
  <c r="Q53" i="10"/>
  <c r="R53" i="10" s="1"/>
  <c r="N52" i="10"/>
  <c r="Q51" i="10"/>
  <c r="T51" i="10" s="1"/>
  <c r="Q50" i="10"/>
  <c r="R50" i="10" s="1"/>
  <c r="Q49" i="10"/>
  <c r="T49" i="10" s="1"/>
  <c r="N48" i="10"/>
  <c r="Q47" i="10"/>
  <c r="T47" i="10" s="1"/>
  <c r="Q46" i="10"/>
  <c r="R46" i="10" s="1"/>
  <c r="Q45" i="10"/>
  <c r="T45" i="10" s="1"/>
  <c r="Q44" i="10"/>
  <c r="T44" i="10" s="1"/>
  <c r="Q42" i="10"/>
  <c r="T42" i="10" s="1"/>
  <c r="Q41" i="10"/>
  <c r="R41" i="10" s="1"/>
  <c r="Q40" i="10"/>
  <c r="T40" i="10" s="1"/>
  <c r="Q39" i="10"/>
  <c r="T39" i="10" s="1"/>
  <c r="Q38" i="10"/>
  <c r="R38" i="10" s="1"/>
  <c r="Q37" i="10"/>
  <c r="T37" i="10" s="1"/>
  <c r="Q36" i="10"/>
  <c r="T36" i="10" s="1"/>
  <c r="Q35" i="10"/>
  <c r="T35" i="10" s="1"/>
  <c r="V35" i="10" s="1"/>
  <c r="Q34" i="10"/>
  <c r="T34" i="10" s="1"/>
  <c r="Q33" i="10"/>
  <c r="T33" i="10" s="1"/>
  <c r="Q32" i="10"/>
  <c r="R32" i="10" s="1"/>
  <c r="Q31" i="10"/>
  <c r="T31" i="10" s="1"/>
  <c r="Q30" i="10"/>
  <c r="T30" i="10" s="1"/>
  <c r="Q29" i="10"/>
  <c r="T29" i="10" s="1"/>
  <c r="V29" i="10" s="1"/>
  <c r="Q28" i="10"/>
  <c r="T28" i="10" s="1"/>
  <c r="Q27" i="10"/>
  <c r="T27" i="10" s="1"/>
  <c r="Q26" i="10"/>
  <c r="R26" i="10" s="1"/>
  <c r="Q25" i="10"/>
  <c r="T25" i="10" s="1"/>
  <c r="Q24" i="10"/>
  <c r="T24" i="10" s="1"/>
  <c r="Q23" i="10"/>
  <c r="R23" i="10" s="1"/>
  <c r="N20" i="10"/>
  <c r="Q22" i="10"/>
  <c r="T22" i="10" s="1"/>
  <c r="Q21" i="10"/>
  <c r="T21" i="10" s="1"/>
  <c r="U45" i="7" l="1"/>
  <c r="V55" i="5"/>
  <c r="U48" i="14"/>
  <c r="V114" i="5"/>
  <c r="Z84" i="11"/>
  <c r="R19" i="11"/>
  <c r="R18" i="11" s="1"/>
  <c r="AR12" i="2" s="1"/>
  <c r="R20" i="8"/>
  <c r="AS21" i="2" s="1"/>
  <c r="U25" i="8"/>
  <c r="U20" i="8" s="1"/>
  <c r="U45" i="14"/>
  <c r="W32" i="11"/>
  <c r="X32" i="11"/>
  <c r="T49" i="11"/>
  <c r="U49" i="11" s="1"/>
  <c r="V49" i="11"/>
  <c r="X67" i="11"/>
  <c r="W67" i="11"/>
  <c r="T33" i="11"/>
  <c r="U33" i="11" s="1"/>
  <c r="V33" i="11"/>
  <c r="X50" i="11"/>
  <c r="W50" i="11"/>
  <c r="T62" i="11"/>
  <c r="U62" i="11" s="1"/>
  <c r="V62" i="11"/>
  <c r="T74" i="11"/>
  <c r="U74" i="11" s="1"/>
  <c r="V74" i="11"/>
  <c r="W28" i="11"/>
  <c r="X28" i="11"/>
  <c r="W34" i="11"/>
  <c r="X34" i="11"/>
  <c r="W40" i="11"/>
  <c r="X40" i="11"/>
  <c r="X45" i="11"/>
  <c r="W45" i="11"/>
  <c r="X51" i="11"/>
  <c r="W51" i="11"/>
  <c r="X63" i="11"/>
  <c r="W63" i="11"/>
  <c r="X69" i="11"/>
  <c r="W69" i="11"/>
  <c r="X75" i="11"/>
  <c r="W75" i="11"/>
  <c r="X81" i="11"/>
  <c r="W81" i="11"/>
  <c r="T43" i="11"/>
  <c r="U43" i="11" s="1"/>
  <c r="V43" i="11"/>
  <c r="X61" i="11"/>
  <c r="W61" i="11"/>
  <c r="W79" i="11"/>
  <c r="X79" i="11"/>
  <c r="T27" i="11"/>
  <c r="U27" i="11" s="1"/>
  <c r="V27" i="11"/>
  <c r="T39" i="11"/>
  <c r="U39" i="11" s="1"/>
  <c r="V39" i="11"/>
  <c r="X56" i="11"/>
  <c r="W56" i="11"/>
  <c r="T68" i="11"/>
  <c r="U68" i="11" s="1"/>
  <c r="V68" i="11"/>
  <c r="T80" i="11"/>
  <c r="U80" i="11" s="1"/>
  <c r="V80" i="11"/>
  <c r="W22" i="11"/>
  <c r="X22" i="11"/>
  <c r="W23" i="11"/>
  <c r="X23" i="11"/>
  <c r="W29" i="11"/>
  <c r="X29" i="11"/>
  <c r="W35" i="11"/>
  <c r="X35" i="11"/>
  <c r="T46" i="11"/>
  <c r="U46" i="11" s="1"/>
  <c r="V46" i="11"/>
  <c r="T52" i="11"/>
  <c r="U52" i="11" s="1"/>
  <c r="V52" i="11"/>
  <c r="X58" i="11"/>
  <c r="W58" i="11"/>
  <c r="X64" i="11"/>
  <c r="W64" i="11"/>
  <c r="X70" i="11"/>
  <c r="W70" i="11"/>
  <c r="T77" i="11"/>
  <c r="U77" i="11" s="1"/>
  <c r="V77" i="11"/>
  <c r="T83" i="11"/>
  <c r="U83" i="11" s="1"/>
  <c r="V83" i="11"/>
  <c r="W26" i="11"/>
  <c r="X26" i="11"/>
  <c r="T30" i="11"/>
  <c r="U30" i="11" s="1"/>
  <c r="V30" i="11"/>
  <c r="T71" i="11"/>
  <c r="U71" i="11" s="1"/>
  <c r="V71" i="11"/>
  <c r="W38" i="11"/>
  <c r="X38" i="11"/>
  <c r="T55" i="11"/>
  <c r="U55" i="11" s="1"/>
  <c r="V55" i="11"/>
  <c r="X73" i="11"/>
  <c r="W73" i="11"/>
  <c r="X44" i="11"/>
  <c r="W44" i="11"/>
  <c r="T24" i="11"/>
  <c r="U24" i="11" s="1"/>
  <c r="V24" i="11"/>
  <c r="T36" i="11"/>
  <c r="U36" i="11" s="1"/>
  <c r="V36" i="11"/>
  <c r="X47" i="11"/>
  <c r="W47" i="11"/>
  <c r="X53" i="11"/>
  <c r="W53" i="11"/>
  <c r="T59" i="11"/>
  <c r="U59" i="11" s="1"/>
  <c r="V59" i="11"/>
  <c r="T65" i="11"/>
  <c r="U65" i="11" s="1"/>
  <c r="V65" i="11"/>
  <c r="W25" i="11"/>
  <c r="X25" i="11"/>
  <c r="W31" i="11"/>
  <c r="X31" i="11"/>
  <c r="W37" i="11"/>
  <c r="X37" i="11"/>
  <c r="W42" i="11"/>
  <c r="X42" i="11"/>
  <c r="X48" i="11"/>
  <c r="W48" i="11"/>
  <c r="W54" i="11"/>
  <c r="X54" i="11"/>
  <c r="X60" i="11"/>
  <c r="W60" i="11"/>
  <c r="X66" i="11"/>
  <c r="W66" i="11"/>
  <c r="X72" i="11"/>
  <c r="W72" i="11"/>
  <c r="X78" i="11"/>
  <c r="W78" i="11"/>
  <c r="U58" i="7"/>
  <c r="U33" i="7"/>
  <c r="U18" i="3"/>
  <c r="T45" i="11"/>
  <c r="U45" i="11" s="1"/>
  <c r="T48" i="11"/>
  <c r="U48" i="11" s="1"/>
  <c r="T51" i="11"/>
  <c r="U51" i="11" s="1"/>
  <c r="P20" i="11"/>
  <c r="T54" i="11"/>
  <c r="U54" i="11" s="1"/>
  <c r="T42" i="11"/>
  <c r="U42" i="11" s="1"/>
  <c r="R65" i="10"/>
  <c r="P19" i="12"/>
  <c r="P18" i="12" s="1"/>
  <c r="AR13" i="2" s="1"/>
  <c r="R18" i="3"/>
  <c r="AS16" i="2" s="1"/>
  <c r="R18" i="4"/>
  <c r="AS17" i="2" s="1"/>
  <c r="U32" i="6"/>
  <c r="R18" i="6"/>
  <c r="AS19" i="2" s="1"/>
  <c r="U19" i="6"/>
  <c r="U37" i="4"/>
  <c r="U18" i="4" s="1"/>
  <c r="T28" i="12"/>
  <c r="V28" i="12" s="1"/>
  <c r="N19" i="12"/>
  <c r="N18" i="12" s="1"/>
  <c r="AQ13" i="2" s="1"/>
  <c r="T22" i="12"/>
  <c r="V22" i="12" s="1"/>
  <c r="R31" i="12"/>
  <c r="N19" i="10"/>
  <c r="N18" i="10" s="1"/>
  <c r="AQ11" i="2" s="1"/>
  <c r="R74" i="10"/>
  <c r="T69" i="10"/>
  <c r="U69" i="10" s="1"/>
  <c r="T32" i="10"/>
  <c r="V32" i="10" s="1"/>
  <c r="T38" i="10"/>
  <c r="V38" i="10" s="1"/>
  <c r="R25" i="10"/>
  <c r="T41" i="10"/>
  <c r="V41" i="10" s="1"/>
  <c r="T23" i="10"/>
  <c r="V23" i="10" s="1"/>
  <c r="T53" i="10"/>
  <c r="V53" i="10" s="1"/>
  <c r="T66" i="10"/>
  <c r="R68" i="10"/>
  <c r="T75" i="10"/>
  <c r="U75" i="10" s="1"/>
  <c r="T26" i="10"/>
  <c r="V26" i="10" s="1"/>
  <c r="V163" i="5"/>
  <c r="V28" i="5"/>
  <c r="V65" i="5"/>
  <c r="S18" i="5"/>
  <c r="AS18" i="2" s="1"/>
  <c r="V93" i="5"/>
  <c r="V143" i="5"/>
  <c r="T72" i="10"/>
  <c r="R71" i="10"/>
  <c r="R29" i="10"/>
  <c r="R35" i="10"/>
  <c r="R79" i="10"/>
  <c r="T78" i="10"/>
  <c r="U78" i="10" s="1"/>
  <c r="R28" i="10"/>
  <c r="R34" i="10"/>
  <c r="R31" i="10"/>
  <c r="T25" i="12"/>
  <c r="V25" i="12" s="1"/>
  <c r="R22" i="10"/>
  <c r="P19" i="10"/>
  <c r="P18" i="10" s="1"/>
  <c r="AR11" i="2" s="1"/>
  <c r="V19" i="5"/>
  <c r="U52" i="7"/>
  <c r="R20" i="7"/>
  <c r="AS20" i="2" s="1"/>
  <c r="S19" i="1"/>
  <c r="S18" i="1" s="1"/>
  <c r="S79" i="13"/>
  <c r="U56" i="14"/>
  <c r="U55" i="14" s="1"/>
  <c r="U51" i="14"/>
  <c r="U27" i="13"/>
  <c r="V27" i="13" s="1"/>
  <c r="U61" i="13"/>
  <c r="W61" i="13" s="1"/>
  <c r="U67" i="13"/>
  <c r="W67" i="13" s="1"/>
  <c r="U39" i="13"/>
  <c r="V39" i="13" s="1"/>
  <c r="S34" i="13"/>
  <c r="U73" i="13"/>
  <c r="W73" i="13" s="1"/>
  <c r="W64" i="13"/>
  <c r="V64" i="13"/>
  <c r="W70" i="13"/>
  <c r="V70" i="13"/>
  <c r="W76" i="13"/>
  <c r="V76" i="13"/>
  <c r="W82" i="13"/>
  <c r="V82" i="13"/>
  <c r="O18" i="13"/>
  <c r="AQ14" i="2" s="1"/>
  <c r="W58" i="13"/>
  <c r="V58" i="13"/>
  <c r="U36" i="13"/>
  <c r="V36" i="13" s="1"/>
  <c r="U24" i="13"/>
  <c r="V24" i="13" s="1"/>
  <c r="S49" i="13"/>
  <c r="S58" i="13"/>
  <c r="S64" i="13"/>
  <c r="S70" i="13"/>
  <c r="S76" i="13"/>
  <c r="S82" i="13"/>
  <c r="V79" i="13"/>
  <c r="S83" i="13"/>
  <c r="S40" i="13"/>
  <c r="U33" i="13"/>
  <c r="V33" i="13" s="1"/>
  <c r="U44" i="13"/>
  <c r="W44" i="13" s="1"/>
  <c r="U42" i="13"/>
  <c r="V42" i="13" s="1"/>
  <c r="U30" i="13"/>
  <c r="V30" i="13" s="1"/>
  <c r="S25" i="13"/>
  <c r="V20" i="14"/>
  <c r="U20" i="14"/>
  <c r="R44" i="14"/>
  <c r="V26" i="14"/>
  <c r="U26" i="14"/>
  <c r="R57" i="14"/>
  <c r="U41" i="14"/>
  <c r="U23" i="14"/>
  <c r="R52" i="14"/>
  <c r="U21" i="13"/>
  <c r="V21" i="13" s="1"/>
  <c r="S28" i="13"/>
  <c r="S31" i="13"/>
  <c r="S22" i="13"/>
  <c r="S37" i="13"/>
  <c r="S43" i="13"/>
  <c r="R87" i="14"/>
  <c r="Q18" i="13"/>
  <c r="AR14" i="2" s="1"/>
  <c r="W85" i="13"/>
  <c r="V85" i="13"/>
  <c r="S85" i="13"/>
  <c r="V35" i="14"/>
  <c r="U35" i="14"/>
  <c r="V38" i="14"/>
  <c r="U38" i="14"/>
  <c r="R64" i="14"/>
  <c r="V32" i="14"/>
  <c r="U32" i="14"/>
  <c r="V29" i="14"/>
  <c r="U29" i="14"/>
  <c r="R19" i="14"/>
  <c r="V79" i="14"/>
  <c r="U79" i="14"/>
  <c r="V70" i="14"/>
  <c r="U70" i="14"/>
  <c r="V82" i="14"/>
  <c r="U82" i="14"/>
  <c r="V85" i="14"/>
  <c r="U85" i="14"/>
  <c r="V76" i="14"/>
  <c r="U76" i="14"/>
  <c r="V67" i="14"/>
  <c r="U67" i="14"/>
  <c r="V73" i="14"/>
  <c r="U73" i="14"/>
  <c r="V62" i="14"/>
  <c r="U62" i="14"/>
  <c r="V59" i="14"/>
  <c r="U59" i="14"/>
  <c r="V53" i="14"/>
  <c r="U53" i="14"/>
  <c r="U52" i="14" s="1"/>
  <c r="V50" i="14"/>
  <c r="U50" i="14"/>
  <c r="V47" i="14"/>
  <c r="U47" i="14"/>
  <c r="V42" i="14"/>
  <c r="U42" i="14"/>
  <c r="V33" i="14"/>
  <c r="U33" i="14"/>
  <c r="V24" i="14"/>
  <c r="U24" i="14"/>
  <c r="V27" i="14"/>
  <c r="U27" i="14"/>
  <c r="V39" i="14"/>
  <c r="U39" i="14"/>
  <c r="V30" i="14"/>
  <c r="U30" i="14"/>
  <c r="V21" i="14"/>
  <c r="U21" i="14"/>
  <c r="V36" i="14"/>
  <c r="U36" i="14"/>
  <c r="W89" i="13"/>
  <c r="V89" i="13"/>
  <c r="V88" i="13" s="1"/>
  <c r="S89" i="13"/>
  <c r="W83" i="13"/>
  <c r="V83" i="13"/>
  <c r="W60" i="13"/>
  <c r="V60" i="13"/>
  <c r="W63" i="13"/>
  <c r="V63" i="13"/>
  <c r="W66" i="13"/>
  <c r="V66" i="13"/>
  <c r="W69" i="13"/>
  <c r="V69" i="13"/>
  <c r="W72" i="13"/>
  <c r="V72" i="13"/>
  <c r="W75" i="13"/>
  <c r="V75" i="13"/>
  <c r="W78" i="13"/>
  <c r="V78" i="13"/>
  <c r="W81" i="13"/>
  <c r="V81" i="13"/>
  <c r="W84" i="13"/>
  <c r="V84" i="13"/>
  <c r="W87" i="13"/>
  <c r="V87" i="13"/>
  <c r="U59" i="13"/>
  <c r="S60" i="13"/>
  <c r="U62" i="13"/>
  <c r="S63" i="13"/>
  <c r="U65" i="13"/>
  <c r="S66" i="13"/>
  <c r="U68" i="13"/>
  <c r="S69" i="13"/>
  <c r="U71" i="13"/>
  <c r="S72" i="13"/>
  <c r="U74" i="13"/>
  <c r="S75" i="13"/>
  <c r="U77" i="13"/>
  <c r="S78" i="13"/>
  <c r="U80" i="13"/>
  <c r="S81" i="13"/>
  <c r="S84" i="13"/>
  <c r="U86" i="13"/>
  <c r="S87" i="13"/>
  <c r="V51" i="13"/>
  <c r="W51" i="13"/>
  <c r="W53" i="13"/>
  <c r="V53" i="13"/>
  <c r="W49" i="13"/>
  <c r="V49" i="13"/>
  <c r="W50" i="13"/>
  <c r="V50" i="13"/>
  <c r="V54" i="13"/>
  <c r="W54" i="13"/>
  <c r="W56" i="13"/>
  <c r="V56" i="13"/>
  <c r="S50" i="13"/>
  <c r="U52" i="13"/>
  <c r="S53" i="13"/>
  <c r="U55" i="13"/>
  <c r="S56" i="13"/>
  <c r="S51" i="13"/>
  <c r="S54" i="13"/>
  <c r="W47" i="13"/>
  <c r="V47" i="13"/>
  <c r="V46" i="13" s="1"/>
  <c r="S47" i="13"/>
  <c r="U45" i="13"/>
  <c r="V28" i="13"/>
  <c r="W28" i="13"/>
  <c r="V31" i="13"/>
  <c r="W31" i="13"/>
  <c r="V34" i="13"/>
  <c r="W34" i="13"/>
  <c r="V25" i="13"/>
  <c r="W25" i="13"/>
  <c r="V37" i="13"/>
  <c r="W37" i="13"/>
  <c r="V40" i="13"/>
  <c r="W40" i="13"/>
  <c r="V22" i="13"/>
  <c r="W22" i="13"/>
  <c r="U41" i="13"/>
  <c r="U38" i="13"/>
  <c r="U35" i="13"/>
  <c r="U32" i="13"/>
  <c r="U29" i="13"/>
  <c r="U26" i="13"/>
  <c r="U23" i="13"/>
  <c r="W20" i="13"/>
  <c r="V20" i="13"/>
  <c r="S20" i="13"/>
  <c r="V35" i="12"/>
  <c r="U35" i="12"/>
  <c r="U34" i="12" s="1"/>
  <c r="R35" i="12"/>
  <c r="U31" i="12"/>
  <c r="V31" i="12"/>
  <c r="V33" i="12"/>
  <c r="U33" i="12"/>
  <c r="T32" i="12"/>
  <c r="R33" i="12"/>
  <c r="V26" i="12"/>
  <c r="U26" i="12"/>
  <c r="U21" i="12"/>
  <c r="V21" i="12"/>
  <c r="V23" i="12"/>
  <c r="U23" i="12"/>
  <c r="U27" i="12"/>
  <c r="V27" i="12"/>
  <c r="V24" i="12"/>
  <c r="U24" i="12"/>
  <c r="V29" i="12"/>
  <c r="U29" i="12"/>
  <c r="R23" i="12"/>
  <c r="R26" i="12"/>
  <c r="R29" i="12"/>
  <c r="R21" i="12"/>
  <c r="R24" i="12"/>
  <c r="R27" i="12"/>
  <c r="T78" i="11"/>
  <c r="U78" i="11" s="1"/>
  <c r="T81" i="11"/>
  <c r="U81" i="11" s="1"/>
  <c r="T79" i="11"/>
  <c r="U79" i="11" s="1"/>
  <c r="T60" i="11"/>
  <c r="U60" i="11" s="1"/>
  <c r="T63" i="11"/>
  <c r="U63" i="11" s="1"/>
  <c r="T66" i="11"/>
  <c r="U66" i="11" s="1"/>
  <c r="T69" i="11"/>
  <c r="U69" i="11" s="1"/>
  <c r="T72" i="11"/>
  <c r="U72" i="11" s="1"/>
  <c r="T75" i="11"/>
  <c r="U75" i="11" s="1"/>
  <c r="T58" i="11"/>
  <c r="U58" i="11" s="1"/>
  <c r="T61" i="11"/>
  <c r="U61" i="11" s="1"/>
  <c r="T64" i="11"/>
  <c r="U64" i="11" s="1"/>
  <c r="T67" i="11"/>
  <c r="U67" i="11" s="1"/>
  <c r="T70" i="11"/>
  <c r="U70" i="11" s="1"/>
  <c r="T73" i="11"/>
  <c r="U73" i="11" s="1"/>
  <c r="T44" i="11"/>
  <c r="U44" i="11" s="1"/>
  <c r="T47" i="11"/>
  <c r="U47" i="11" s="1"/>
  <c r="T50" i="11"/>
  <c r="U50" i="11" s="1"/>
  <c r="T53" i="11"/>
  <c r="U53" i="11" s="1"/>
  <c r="T56" i="11"/>
  <c r="U56" i="11" s="1"/>
  <c r="T22" i="11"/>
  <c r="U22" i="11" s="1"/>
  <c r="T25" i="11"/>
  <c r="U25" i="11" s="1"/>
  <c r="T28" i="11"/>
  <c r="U28" i="11" s="1"/>
  <c r="T31" i="11"/>
  <c r="U31" i="11" s="1"/>
  <c r="T34" i="11"/>
  <c r="U34" i="11" s="1"/>
  <c r="T37" i="11"/>
  <c r="U37" i="11" s="1"/>
  <c r="T40" i="11"/>
  <c r="U40" i="11" s="1"/>
  <c r="T23" i="11"/>
  <c r="U23" i="11" s="1"/>
  <c r="T26" i="11"/>
  <c r="U26" i="11" s="1"/>
  <c r="T29" i="11"/>
  <c r="U29" i="11" s="1"/>
  <c r="T32" i="11"/>
  <c r="U32" i="11" s="1"/>
  <c r="T35" i="11"/>
  <c r="U35" i="11" s="1"/>
  <c r="T38" i="11"/>
  <c r="U38" i="11" s="1"/>
  <c r="V82" i="10"/>
  <c r="U82" i="10"/>
  <c r="U81" i="10" s="1"/>
  <c r="R82" i="10"/>
  <c r="V79" i="10"/>
  <c r="U79" i="10"/>
  <c r="U80" i="10"/>
  <c r="V80" i="10"/>
  <c r="R80" i="10"/>
  <c r="U65" i="10"/>
  <c r="V65" i="10"/>
  <c r="U68" i="10"/>
  <c r="V68" i="10"/>
  <c r="V71" i="10"/>
  <c r="U71" i="10"/>
  <c r="U74" i="10"/>
  <c r="V74" i="10"/>
  <c r="V64" i="10"/>
  <c r="U64" i="10"/>
  <c r="V67" i="10"/>
  <c r="U67" i="10"/>
  <c r="V70" i="10"/>
  <c r="U70" i="10"/>
  <c r="V73" i="10"/>
  <c r="U73" i="10"/>
  <c r="V76" i="10"/>
  <c r="U76" i="10"/>
  <c r="R64" i="10"/>
  <c r="R67" i="10"/>
  <c r="R70" i="10"/>
  <c r="R73" i="10"/>
  <c r="R76" i="10"/>
  <c r="V56" i="10"/>
  <c r="U56" i="10"/>
  <c r="V57" i="10"/>
  <c r="U57" i="10"/>
  <c r="V59" i="10"/>
  <c r="U59" i="10"/>
  <c r="V60" i="10"/>
  <c r="U60" i="10"/>
  <c r="V62" i="10"/>
  <c r="U62" i="10"/>
  <c r="R56" i="10"/>
  <c r="T58" i="10"/>
  <c r="R59" i="10"/>
  <c r="T61" i="10"/>
  <c r="R62" i="10"/>
  <c r="R57" i="10"/>
  <c r="R60" i="10"/>
  <c r="V54" i="10"/>
  <c r="U54" i="10"/>
  <c r="R54" i="10"/>
  <c r="V49" i="10"/>
  <c r="U49" i="10"/>
  <c r="V51" i="10"/>
  <c r="U51" i="10"/>
  <c r="T50" i="10"/>
  <c r="R51" i="10"/>
  <c r="R49" i="10"/>
  <c r="V44" i="10"/>
  <c r="U44" i="10"/>
  <c r="U45" i="10"/>
  <c r="V45" i="10"/>
  <c r="V47" i="10"/>
  <c r="U47" i="10"/>
  <c r="R44" i="10"/>
  <c r="T46" i="10"/>
  <c r="R47" i="10"/>
  <c r="R45" i="10"/>
  <c r="V39" i="10"/>
  <c r="U39" i="10"/>
  <c r="V27" i="10"/>
  <c r="U27" i="10"/>
  <c r="V33" i="10"/>
  <c r="U33" i="10"/>
  <c r="U31" i="10"/>
  <c r="V31" i="10"/>
  <c r="U37" i="10"/>
  <c r="V37" i="10"/>
  <c r="U22" i="10"/>
  <c r="V22" i="10"/>
  <c r="V24" i="10"/>
  <c r="U24" i="10"/>
  <c r="V30" i="10"/>
  <c r="U30" i="10"/>
  <c r="V36" i="10"/>
  <c r="U36" i="10"/>
  <c r="U40" i="10"/>
  <c r="V40" i="10"/>
  <c r="U25" i="10"/>
  <c r="V25" i="10"/>
  <c r="V21" i="10"/>
  <c r="U21" i="10"/>
  <c r="U28" i="10"/>
  <c r="V28" i="10"/>
  <c r="U34" i="10"/>
  <c r="V34" i="10"/>
  <c r="V42" i="10"/>
  <c r="U42" i="10"/>
  <c r="R21" i="10"/>
  <c r="R24" i="10"/>
  <c r="R27" i="10"/>
  <c r="R30" i="10"/>
  <c r="R33" i="10"/>
  <c r="R36" i="10"/>
  <c r="R39" i="10"/>
  <c r="R42" i="10"/>
  <c r="U29" i="10"/>
  <c r="U35" i="10"/>
  <c r="R37" i="10"/>
  <c r="R40" i="10"/>
  <c r="W27" i="13" l="1"/>
  <c r="W36" i="13"/>
  <c r="U28" i="12"/>
  <c r="T82" i="11"/>
  <c r="P19" i="11"/>
  <c r="P18" i="11" s="1"/>
  <c r="AQ12" i="2" s="1"/>
  <c r="AQ10" i="2" s="1"/>
  <c r="U20" i="7"/>
  <c r="AR10" i="2"/>
  <c r="U22" i="12"/>
  <c r="U38" i="10"/>
  <c r="W59" i="11"/>
  <c r="X59" i="11"/>
  <c r="W36" i="11"/>
  <c r="X36" i="11"/>
  <c r="W71" i="11"/>
  <c r="X71" i="11"/>
  <c r="X83" i="11"/>
  <c r="W83" i="11"/>
  <c r="W82" i="11" s="1"/>
  <c r="Z82" i="11" s="1"/>
  <c r="X46" i="11"/>
  <c r="W46" i="11"/>
  <c r="X68" i="11"/>
  <c r="W68" i="11"/>
  <c r="X27" i="11"/>
  <c r="W27" i="11"/>
  <c r="X43" i="11"/>
  <c r="W43" i="11"/>
  <c r="X49" i="11"/>
  <c r="W49" i="11"/>
  <c r="W65" i="11"/>
  <c r="X65" i="11"/>
  <c r="X52" i="11"/>
  <c r="W52" i="11"/>
  <c r="X80" i="11"/>
  <c r="W80" i="11"/>
  <c r="W24" i="11"/>
  <c r="X24" i="11"/>
  <c r="X55" i="11"/>
  <c r="W55" i="11"/>
  <c r="X30" i="11"/>
  <c r="W30" i="11"/>
  <c r="X77" i="11"/>
  <c r="W77" i="11"/>
  <c r="X74" i="11"/>
  <c r="W74" i="11"/>
  <c r="W33" i="11"/>
  <c r="X33" i="11"/>
  <c r="W39" i="11"/>
  <c r="X39" i="11"/>
  <c r="X62" i="11"/>
  <c r="W62" i="11"/>
  <c r="V69" i="10"/>
  <c r="T76" i="11"/>
  <c r="T57" i="11"/>
  <c r="T41" i="11"/>
  <c r="T20" i="11"/>
  <c r="U18" i="6"/>
  <c r="V18" i="5"/>
  <c r="W39" i="13"/>
  <c r="U25" i="12"/>
  <c r="U20" i="12" s="1"/>
  <c r="U32" i="10"/>
  <c r="V75" i="10"/>
  <c r="R48" i="10"/>
  <c r="U53" i="10"/>
  <c r="U52" i="10" s="1"/>
  <c r="R52" i="10"/>
  <c r="U26" i="10"/>
  <c r="V78" i="10"/>
  <c r="U41" i="10"/>
  <c r="U23" i="10"/>
  <c r="U66" i="10"/>
  <c r="V66" i="10"/>
  <c r="U72" i="10"/>
  <c r="V72" i="10"/>
  <c r="R63" i="10"/>
  <c r="R81" i="10"/>
  <c r="U77" i="10"/>
  <c r="R77" i="10"/>
  <c r="R55" i="10"/>
  <c r="R34" i="12"/>
  <c r="R30" i="12"/>
  <c r="R20" i="12"/>
  <c r="R43" i="10"/>
  <c r="R20" i="10"/>
  <c r="V44" i="13"/>
  <c r="W24" i="13"/>
  <c r="W33" i="13"/>
  <c r="V67" i="13"/>
  <c r="V61" i="13"/>
  <c r="V73" i="13"/>
  <c r="W21" i="13"/>
  <c r="S48" i="13"/>
  <c r="W42" i="13"/>
  <c r="S46" i="13"/>
  <c r="W30" i="13"/>
  <c r="U44" i="14"/>
  <c r="U57" i="14"/>
  <c r="U64" i="14"/>
  <c r="R18" i="14"/>
  <c r="AS15" i="2" s="1"/>
  <c r="S19" i="13"/>
  <c r="S88" i="13"/>
  <c r="S57" i="13"/>
  <c r="U19" i="14"/>
  <c r="W77" i="13"/>
  <c r="V77" i="13"/>
  <c r="W68" i="13"/>
  <c r="V68" i="13"/>
  <c r="W59" i="13"/>
  <c r="V59" i="13"/>
  <c r="W86" i="13"/>
  <c r="V86" i="13"/>
  <c r="W74" i="13"/>
  <c r="V74" i="13"/>
  <c r="W65" i="13"/>
  <c r="V65" i="13"/>
  <c r="W80" i="13"/>
  <c r="V80" i="13"/>
  <c r="W71" i="13"/>
  <c r="V71" i="13"/>
  <c r="W62" i="13"/>
  <c r="V62" i="13"/>
  <c r="W55" i="13"/>
  <c r="V55" i="13"/>
  <c r="W52" i="13"/>
  <c r="V52" i="13"/>
  <c r="W45" i="13"/>
  <c r="V45" i="13"/>
  <c r="W35" i="13"/>
  <c r="V35" i="13"/>
  <c r="W32" i="13"/>
  <c r="V32" i="13"/>
  <c r="W38" i="13"/>
  <c r="V38" i="13"/>
  <c r="V23" i="13"/>
  <c r="W23" i="13"/>
  <c r="W41" i="13"/>
  <c r="V41" i="13"/>
  <c r="V26" i="13"/>
  <c r="W26" i="13"/>
  <c r="V29" i="13"/>
  <c r="W29" i="13"/>
  <c r="V32" i="12"/>
  <c r="U32" i="12"/>
  <c r="U30" i="12" s="1"/>
  <c r="W21" i="11"/>
  <c r="V61" i="10"/>
  <c r="U61" i="10"/>
  <c r="V58" i="10"/>
  <c r="U58" i="10"/>
  <c r="V50" i="10"/>
  <c r="U50" i="10"/>
  <c r="U48" i="10" s="1"/>
  <c r="V46" i="10"/>
  <c r="U46" i="10"/>
  <c r="U43" i="10" s="1"/>
  <c r="T19" i="11" l="1"/>
  <c r="T18" i="11" s="1"/>
  <c r="AS12" i="2" s="1"/>
  <c r="W41" i="11"/>
  <c r="Z41" i="11" s="1"/>
  <c r="W76" i="11"/>
  <c r="Z76" i="11" s="1"/>
  <c r="W57" i="11"/>
  <c r="W20" i="11"/>
  <c r="Z20" i="11" s="1"/>
  <c r="U20" i="10"/>
  <c r="U19" i="12"/>
  <c r="U18" i="12" s="1"/>
  <c r="R19" i="12"/>
  <c r="R18" i="12" s="1"/>
  <c r="AS13" i="2" s="1"/>
  <c r="U55" i="10"/>
  <c r="U63" i="10"/>
  <c r="V43" i="13"/>
  <c r="R19" i="10"/>
  <c r="R18" i="10" s="1"/>
  <c r="AS11" i="2" s="1"/>
  <c r="V57" i="13"/>
  <c r="V48" i="13"/>
  <c r="U18" i="14"/>
  <c r="V19" i="13"/>
  <c r="S18" i="13"/>
  <c r="AS14" i="2" s="1"/>
  <c r="K82" i="10"/>
  <c r="S82" i="10" s="1"/>
  <c r="K80" i="10"/>
  <c r="S80" i="10" s="1"/>
  <c r="K79" i="10"/>
  <c r="S79" i="10" s="1"/>
  <c r="K78" i="10"/>
  <c r="S78" i="10" s="1"/>
  <c r="K76" i="10"/>
  <c r="S76" i="10" s="1"/>
  <c r="K75" i="10"/>
  <c r="S75" i="10" s="1"/>
  <c r="K74" i="10"/>
  <c r="S74" i="10" s="1"/>
  <c r="K73" i="10"/>
  <c r="S73" i="10" s="1"/>
  <c r="K72" i="10"/>
  <c r="S72" i="10" s="1"/>
  <c r="K71" i="10"/>
  <c r="S71" i="10" s="1"/>
  <c r="K70" i="10"/>
  <c r="S70" i="10" s="1"/>
  <c r="K69" i="10"/>
  <c r="S69" i="10" s="1"/>
  <c r="K68" i="10"/>
  <c r="S68" i="10" s="1"/>
  <c r="K67" i="10"/>
  <c r="S67" i="10" s="1"/>
  <c r="K66" i="10"/>
  <c r="S66" i="10" s="1"/>
  <c r="K65" i="10"/>
  <c r="S65" i="10" s="1"/>
  <c r="K64" i="10"/>
  <c r="S64" i="10" s="1"/>
  <c r="K62" i="10"/>
  <c r="S62" i="10" s="1"/>
  <c r="K61" i="10"/>
  <c r="S61" i="10" s="1"/>
  <c r="K60" i="10"/>
  <c r="S60" i="10" s="1"/>
  <c r="K59" i="10"/>
  <c r="S59" i="10" s="1"/>
  <c r="K58" i="10"/>
  <c r="S58" i="10" s="1"/>
  <c r="K57" i="10"/>
  <c r="S57" i="10" s="1"/>
  <c r="K56" i="10"/>
  <c r="S56" i="10" s="1"/>
  <c r="K54" i="10"/>
  <c r="S54" i="10" s="1"/>
  <c r="K53" i="10"/>
  <c r="S53" i="10" s="1"/>
  <c r="K51" i="10"/>
  <c r="S51" i="10" s="1"/>
  <c r="K50" i="10"/>
  <c r="S50" i="10" s="1"/>
  <c r="K49" i="10"/>
  <c r="K47" i="10"/>
  <c r="S47" i="10" s="1"/>
  <c r="K46" i="10"/>
  <c r="S46" i="10" s="1"/>
  <c r="K45" i="10"/>
  <c r="S45" i="10" s="1"/>
  <c r="K44" i="10"/>
  <c r="S44" i="10" s="1"/>
  <c r="K42" i="10"/>
  <c r="S42" i="10" s="1"/>
  <c r="K41" i="10"/>
  <c r="S41" i="10" s="1"/>
  <c r="K40" i="10"/>
  <c r="S40" i="10" s="1"/>
  <c r="K39" i="10"/>
  <c r="S39" i="10" s="1"/>
  <c r="K38" i="10"/>
  <c r="S38" i="10" s="1"/>
  <c r="K37" i="10"/>
  <c r="S37" i="10" s="1"/>
  <c r="K36" i="10"/>
  <c r="S36" i="10" s="1"/>
  <c r="K35" i="10"/>
  <c r="S35" i="10" s="1"/>
  <c r="K34" i="10"/>
  <c r="S34" i="10" s="1"/>
  <c r="K33" i="10"/>
  <c r="S33" i="10" s="1"/>
  <c r="K32" i="10"/>
  <c r="S32" i="10" s="1"/>
  <c r="K31" i="10"/>
  <c r="S31" i="10" s="1"/>
  <c r="K30" i="10"/>
  <c r="S30" i="10" s="1"/>
  <c r="K29" i="10"/>
  <c r="S29" i="10" s="1"/>
  <c r="K28" i="10"/>
  <c r="S28" i="10" s="1"/>
  <c r="K27" i="10"/>
  <c r="S27" i="10" s="1"/>
  <c r="K26" i="10"/>
  <c r="S26" i="10" s="1"/>
  <c r="K25" i="10"/>
  <c r="S25" i="10" s="1"/>
  <c r="K24" i="10"/>
  <c r="S24" i="10" s="1"/>
  <c r="K23" i="10"/>
  <c r="S23" i="10" s="1"/>
  <c r="K22" i="10"/>
  <c r="S22" i="10" s="1"/>
  <c r="K21" i="10"/>
  <c r="S21" i="10" s="1"/>
  <c r="L81" i="11"/>
  <c r="L80" i="11"/>
  <c r="L79" i="11"/>
  <c r="L78" i="11"/>
  <c r="L77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K35" i="12"/>
  <c r="S35" i="12" s="1"/>
  <c r="K33" i="12"/>
  <c r="S33" i="12" s="1"/>
  <c r="K32" i="12"/>
  <c r="S32" i="12" s="1"/>
  <c r="K31" i="12"/>
  <c r="S31" i="12" s="1"/>
  <c r="K29" i="12"/>
  <c r="S29" i="12" s="1"/>
  <c r="K28" i="12"/>
  <c r="S28" i="12" s="1"/>
  <c r="K27" i="12"/>
  <c r="S27" i="12" s="1"/>
  <c r="K26" i="12"/>
  <c r="S26" i="12" s="1"/>
  <c r="K25" i="12"/>
  <c r="S25" i="12" s="1"/>
  <c r="K24" i="12"/>
  <c r="S24" i="12" s="1"/>
  <c r="K23" i="12"/>
  <c r="S23" i="12" s="1"/>
  <c r="K22" i="12"/>
  <c r="S22" i="12" s="1"/>
  <c r="K21" i="12"/>
  <c r="S21" i="12" s="1"/>
  <c r="K34" i="12" l="1"/>
  <c r="K30" i="12"/>
  <c r="K20" i="12"/>
  <c r="K19" i="12" s="1"/>
  <c r="K18" i="12" s="1"/>
  <c r="AL13" i="2" s="1"/>
  <c r="AT13" i="2" s="1"/>
  <c r="AV13" i="2" s="1"/>
  <c r="K81" i="10"/>
  <c r="K48" i="10"/>
  <c r="S49" i="10"/>
  <c r="K77" i="10"/>
  <c r="K63" i="10"/>
  <c r="AT12" i="2"/>
  <c r="AS10" i="2"/>
  <c r="W19" i="11"/>
  <c r="W18" i="11" s="1"/>
  <c r="Z57" i="11"/>
  <c r="L82" i="11"/>
  <c r="L20" i="11"/>
  <c r="L41" i="11"/>
  <c r="L57" i="11"/>
  <c r="L76" i="11"/>
  <c r="U19" i="10"/>
  <c r="U18" i="10" s="1"/>
  <c r="V18" i="13"/>
  <c r="K52" i="10"/>
  <c r="K55" i="10"/>
  <c r="K20" i="10"/>
  <c r="K43" i="10"/>
  <c r="L19" i="11" l="1"/>
  <c r="K19" i="10"/>
  <c r="K18" i="10" s="1"/>
  <c r="AL11" i="2" s="1"/>
  <c r="AN11" i="2" s="1"/>
  <c r="AV12" i="2"/>
  <c r="L18" i="11"/>
  <c r="K89" i="13"/>
  <c r="K87" i="13"/>
  <c r="T87" i="13" s="1"/>
  <c r="K86" i="13"/>
  <c r="T86" i="13" s="1"/>
  <c r="K85" i="13"/>
  <c r="T85" i="13" s="1"/>
  <c r="K84" i="13"/>
  <c r="T84" i="13" s="1"/>
  <c r="K83" i="13"/>
  <c r="T83" i="13" s="1"/>
  <c r="K82" i="13"/>
  <c r="T82" i="13" s="1"/>
  <c r="K81" i="13"/>
  <c r="T81" i="13" s="1"/>
  <c r="K80" i="13"/>
  <c r="T80" i="13" s="1"/>
  <c r="K79" i="13"/>
  <c r="T79" i="13" s="1"/>
  <c r="K78" i="13"/>
  <c r="T78" i="13" s="1"/>
  <c r="K77" i="13"/>
  <c r="T77" i="13" s="1"/>
  <c r="K76" i="13"/>
  <c r="T76" i="13" s="1"/>
  <c r="K75" i="13"/>
  <c r="T75" i="13" s="1"/>
  <c r="K74" i="13"/>
  <c r="T74" i="13" s="1"/>
  <c r="K73" i="13"/>
  <c r="T73" i="13" s="1"/>
  <c r="K72" i="13"/>
  <c r="T72" i="13" s="1"/>
  <c r="K71" i="13"/>
  <c r="T71" i="13" s="1"/>
  <c r="K70" i="13"/>
  <c r="T70" i="13" s="1"/>
  <c r="K69" i="13"/>
  <c r="T69" i="13" s="1"/>
  <c r="K68" i="13"/>
  <c r="T68" i="13" s="1"/>
  <c r="K67" i="13"/>
  <c r="T67" i="13" s="1"/>
  <c r="K66" i="13"/>
  <c r="T66" i="13" s="1"/>
  <c r="K65" i="13"/>
  <c r="T65" i="13" s="1"/>
  <c r="K64" i="13"/>
  <c r="T64" i="13" s="1"/>
  <c r="K63" i="13"/>
  <c r="T63" i="13" s="1"/>
  <c r="K62" i="13"/>
  <c r="T62" i="13" s="1"/>
  <c r="K61" i="13"/>
  <c r="T61" i="13" s="1"/>
  <c r="K60" i="13"/>
  <c r="T60" i="13" s="1"/>
  <c r="K59" i="13"/>
  <c r="T59" i="13" s="1"/>
  <c r="K58" i="13"/>
  <c r="K56" i="13"/>
  <c r="T56" i="13" s="1"/>
  <c r="K55" i="13"/>
  <c r="T55" i="13" s="1"/>
  <c r="K54" i="13"/>
  <c r="T54" i="13" s="1"/>
  <c r="K53" i="13"/>
  <c r="T53" i="13" s="1"/>
  <c r="K52" i="13"/>
  <c r="T52" i="13" s="1"/>
  <c r="K51" i="13"/>
  <c r="T51" i="13" s="1"/>
  <c r="K50" i="13"/>
  <c r="T50" i="13" s="1"/>
  <c r="K49" i="13"/>
  <c r="K47" i="13"/>
  <c r="K45" i="13"/>
  <c r="T45" i="13" s="1"/>
  <c r="K44" i="13"/>
  <c r="K42" i="13"/>
  <c r="T42" i="13" s="1"/>
  <c r="K41" i="13"/>
  <c r="T41" i="13" s="1"/>
  <c r="K40" i="13"/>
  <c r="T40" i="13" s="1"/>
  <c r="K39" i="13"/>
  <c r="T39" i="13" s="1"/>
  <c r="K38" i="13"/>
  <c r="T38" i="13" s="1"/>
  <c r="K37" i="13"/>
  <c r="T37" i="13" s="1"/>
  <c r="K36" i="13"/>
  <c r="T36" i="13" s="1"/>
  <c r="K35" i="13"/>
  <c r="T35" i="13" s="1"/>
  <c r="K34" i="13"/>
  <c r="T34" i="13" s="1"/>
  <c r="K33" i="13"/>
  <c r="T33" i="13" s="1"/>
  <c r="K32" i="13"/>
  <c r="T32" i="13" s="1"/>
  <c r="K31" i="13"/>
  <c r="T31" i="13" s="1"/>
  <c r="K30" i="13"/>
  <c r="T30" i="13" s="1"/>
  <c r="K29" i="13"/>
  <c r="T29" i="13" s="1"/>
  <c r="K28" i="13"/>
  <c r="T28" i="13" s="1"/>
  <c r="K27" i="13"/>
  <c r="T27" i="13" s="1"/>
  <c r="K26" i="13"/>
  <c r="T26" i="13" s="1"/>
  <c r="K25" i="13"/>
  <c r="T25" i="13" s="1"/>
  <c r="K24" i="13"/>
  <c r="T24" i="13" s="1"/>
  <c r="K23" i="13"/>
  <c r="T23" i="13" s="1"/>
  <c r="K22" i="13"/>
  <c r="T22" i="13" s="1"/>
  <c r="K21" i="13"/>
  <c r="T21" i="13" s="1"/>
  <c r="K20" i="13"/>
  <c r="K88" i="14"/>
  <c r="K86" i="14"/>
  <c r="S86" i="14" s="1"/>
  <c r="K85" i="14"/>
  <c r="S85" i="14" s="1"/>
  <c r="K84" i="14"/>
  <c r="S84" i="14" s="1"/>
  <c r="K83" i="14"/>
  <c r="S83" i="14" s="1"/>
  <c r="K82" i="14"/>
  <c r="S82" i="14" s="1"/>
  <c r="K81" i="14"/>
  <c r="S81" i="14" s="1"/>
  <c r="K80" i="14"/>
  <c r="S80" i="14" s="1"/>
  <c r="K79" i="14"/>
  <c r="S79" i="14" s="1"/>
  <c r="K78" i="14"/>
  <c r="S78" i="14" s="1"/>
  <c r="K77" i="14"/>
  <c r="S77" i="14" s="1"/>
  <c r="K76" i="14"/>
  <c r="S76" i="14" s="1"/>
  <c r="K75" i="14"/>
  <c r="S75" i="14" s="1"/>
  <c r="K74" i="14"/>
  <c r="S74" i="14" s="1"/>
  <c r="K73" i="14"/>
  <c r="S73" i="14" s="1"/>
  <c r="K72" i="14"/>
  <c r="S72" i="14" s="1"/>
  <c r="K71" i="14"/>
  <c r="S71" i="14" s="1"/>
  <c r="K70" i="14"/>
  <c r="S70" i="14" s="1"/>
  <c r="K69" i="14"/>
  <c r="S69" i="14" s="1"/>
  <c r="K68" i="14"/>
  <c r="S68" i="14" s="1"/>
  <c r="K67" i="14"/>
  <c r="S67" i="14" s="1"/>
  <c r="K66" i="14"/>
  <c r="S66" i="14" s="1"/>
  <c r="K65" i="14"/>
  <c r="K63" i="14"/>
  <c r="S63" i="14" s="1"/>
  <c r="K62" i="14"/>
  <c r="S62" i="14" s="1"/>
  <c r="K61" i="14"/>
  <c r="S61" i="14" s="1"/>
  <c r="K60" i="14"/>
  <c r="S60" i="14" s="1"/>
  <c r="K59" i="14"/>
  <c r="S59" i="14" s="1"/>
  <c r="K58" i="14"/>
  <c r="K56" i="14"/>
  <c r="K54" i="14"/>
  <c r="S54" i="14" s="1"/>
  <c r="K53" i="14"/>
  <c r="K51" i="14"/>
  <c r="S51" i="14" s="1"/>
  <c r="K50" i="14"/>
  <c r="S50" i="14" s="1"/>
  <c r="K49" i="14"/>
  <c r="S49" i="14" s="1"/>
  <c r="K48" i="14"/>
  <c r="S48" i="14" s="1"/>
  <c r="K47" i="14"/>
  <c r="S47" i="14" s="1"/>
  <c r="K46" i="14"/>
  <c r="S46" i="14" s="1"/>
  <c r="K45" i="14"/>
  <c r="K43" i="14"/>
  <c r="S43" i="14" s="1"/>
  <c r="K42" i="14"/>
  <c r="S42" i="14" s="1"/>
  <c r="K41" i="14"/>
  <c r="S41" i="14" s="1"/>
  <c r="K40" i="14"/>
  <c r="S40" i="14" s="1"/>
  <c r="K39" i="14"/>
  <c r="S39" i="14" s="1"/>
  <c r="K38" i="14"/>
  <c r="S38" i="14" s="1"/>
  <c r="K37" i="14"/>
  <c r="S37" i="14" s="1"/>
  <c r="K36" i="14"/>
  <c r="S36" i="14" s="1"/>
  <c r="K35" i="14"/>
  <c r="S35" i="14" s="1"/>
  <c r="K34" i="14"/>
  <c r="S34" i="14" s="1"/>
  <c r="K33" i="14"/>
  <c r="S33" i="14" s="1"/>
  <c r="K32" i="14"/>
  <c r="S32" i="14" s="1"/>
  <c r="K31" i="14"/>
  <c r="S31" i="14" s="1"/>
  <c r="K30" i="14"/>
  <c r="S30" i="14" s="1"/>
  <c r="K29" i="14"/>
  <c r="S29" i="14" s="1"/>
  <c r="K28" i="14"/>
  <c r="S28" i="14" s="1"/>
  <c r="K27" i="14"/>
  <c r="S27" i="14" s="1"/>
  <c r="K26" i="14"/>
  <c r="S26" i="14" s="1"/>
  <c r="K25" i="14"/>
  <c r="S25" i="14" s="1"/>
  <c r="K24" i="14"/>
  <c r="S24" i="14" s="1"/>
  <c r="K23" i="14"/>
  <c r="S23" i="14" s="1"/>
  <c r="K22" i="14"/>
  <c r="S22" i="14" s="1"/>
  <c r="K21" i="14"/>
  <c r="S21" i="14" s="1"/>
  <c r="K20" i="14"/>
  <c r="K35" i="3"/>
  <c r="K33" i="3"/>
  <c r="S33" i="3" s="1"/>
  <c r="K32" i="3"/>
  <c r="S32" i="3" s="1"/>
  <c r="K31" i="3"/>
  <c r="S31" i="3" s="1"/>
  <c r="K30" i="3"/>
  <c r="K28" i="3"/>
  <c r="S28" i="3" s="1"/>
  <c r="K27" i="3"/>
  <c r="S27" i="3" s="1"/>
  <c r="K26" i="3"/>
  <c r="K24" i="3"/>
  <c r="S24" i="3" s="1"/>
  <c r="K23" i="3"/>
  <c r="S23" i="3" s="1"/>
  <c r="K22" i="3"/>
  <c r="S22" i="3" s="1"/>
  <c r="K21" i="3"/>
  <c r="S21" i="3" s="1"/>
  <c r="K20" i="3"/>
  <c r="K111" i="4"/>
  <c r="S111" i="4" s="1"/>
  <c r="K110" i="4"/>
  <c r="S110" i="4" s="1"/>
  <c r="K109" i="4"/>
  <c r="S109" i="4" s="1"/>
  <c r="K108" i="4"/>
  <c r="S108" i="4" s="1"/>
  <c r="K107" i="4"/>
  <c r="S107" i="4" s="1"/>
  <c r="K106" i="4"/>
  <c r="S106" i="4" s="1"/>
  <c r="K105" i="4"/>
  <c r="S105" i="4" s="1"/>
  <c r="K104" i="4"/>
  <c r="S104" i="4" s="1"/>
  <c r="K103" i="4"/>
  <c r="S103" i="4" s="1"/>
  <c r="K102" i="4"/>
  <c r="S102" i="4" s="1"/>
  <c r="K101" i="4"/>
  <c r="S101" i="4" s="1"/>
  <c r="K100" i="4"/>
  <c r="S100" i="4" s="1"/>
  <c r="K99" i="4"/>
  <c r="S99" i="4" s="1"/>
  <c r="K98" i="4"/>
  <c r="S98" i="4" s="1"/>
  <c r="K97" i="4"/>
  <c r="S97" i="4" s="1"/>
  <c r="K96" i="4"/>
  <c r="S96" i="4" s="1"/>
  <c r="K95" i="4"/>
  <c r="S95" i="4" s="1"/>
  <c r="K94" i="4"/>
  <c r="S94" i="4" s="1"/>
  <c r="K93" i="4"/>
  <c r="S93" i="4" s="1"/>
  <c r="K92" i="4"/>
  <c r="S92" i="4" s="1"/>
  <c r="K91" i="4"/>
  <c r="S91" i="4" s="1"/>
  <c r="K90" i="4"/>
  <c r="S90" i="4" s="1"/>
  <c r="K89" i="4"/>
  <c r="S89" i="4" s="1"/>
  <c r="K88" i="4"/>
  <c r="S88" i="4" s="1"/>
  <c r="K87" i="4"/>
  <c r="S87" i="4" s="1"/>
  <c r="K86" i="4"/>
  <c r="S86" i="4" s="1"/>
  <c r="K85" i="4"/>
  <c r="S85" i="4" s="1"/>
  <c r="K84" i="4"/>
  <c r="S84" i="4" s="1"/>
  <c r="K83" i="4"/>
  <c r="S83" i="4" s="1"/>
  <c r="K82" i="4"/>
  <c r="S82" i="4" s="1"/>
  <c r="K81" i="4"/>
  <c r="S81" i="4" s="1"/>
  <c r="K80" i="4"/>
  <c r="S80" i="4" s="1"/>
  <c r="K79" i="4"/>
  <c r="S79" i="4" s="1"/>
  <c r="K78" i="4"/>
  <c r="S78" i="4" s="1"/>
  <c r="K77" i="4"/>
  <c r="S77" i="4" s="1"/>
  <c r="K76" i="4"/>
  <c r="S76" i="4" s="1"/>
  <c r="K75" i="4"/>
  <c r="S75" i="4" s="1"/>
  <c r="K74" i="4"/>
  <c r="S74" i="4" s="1"/>
  <c r="K73" i="4"/>
  <c r="S73" i="4" s="1"/>
  <c r="K72" i="4"/>
  <c r="S72" i="4" s="1"/>
  <c r="K71" i="4"/>
  <c r="S71" i="4" s="1"/>
  <c r="K70" i="4"/>
  <c r="S70" i="4" s="1"/>
  <c r="K69" i="4"/>
  <c r="S69" i="4" s="1"/>
  <c r="K68" i="4"/>
  <c r="S68" i="4" s="1"/>
  <c r="K67" i="4"/>
  <c r="S67" i="4" s="1"/>
  <c r="K66" i="4"/>
  <c r="S66" i="4" s="1"/>
  <c r="K65" i="4"/>
  <c r="S65" i="4" s="1"/>
  <c r="K64" i="4"/>
  <c r="S64" i="4" s="1"/>
  <c r="K63" i="4"/>
  <c r="S63" i="4" s="1"/>
  <c r="K62" i="4"/>
  <c r="S62" i="4" s="1"/>
  <c r="K61" i="4"/>
  <c r="S61" i="4" s="1"/>
  <c r="K60" i="4"/>
  <c r="S60" i="4" s="1"/>
  <c r="K59" i="4"/>
  <c r="S59" i="4" s="1"/>
  <c r="K58" i="4"/>
  <c r="S58" i="4" s="1"/>
  <c r="K57" i="4"/>
  <c r="S57" i="4" s="1"/>
  <c r="K56" i="4"/>
  <c r="S56" i="4" s="1"/>
  <c r="K55" i="4"/>
  <c r="S55" i="4" s="1"/>
  <c r="K54" i="4"/>
  <c r="S54" i="4" s="1"/>
  <c r="K53" i="4"/>
  <c r="S53" i="4" s="1"/>
  <c r="K52" i="4"/>
  <c r="S52" i="4" s="1"/>
  <c r="K51" i="4"/>
  <c r="S51" i="4" s="1"/>
  <c r="K50" i="4"/>
  <c r="S50" i="4" s="1"/>
  <c r="K49" i="4"/>
  <c r="S49" i="4" s="1"/>
  <c r="K48" i="4"/>
  <c r="S48" i="4" s="1"/>
  <c r="K47" i="4"/>
  <c r="S47" i="4" s="1"/>
  <c r="K46" i="4"/>
  <c r="S46" i="4" s="1"/>
  <c r="K45" i="4"/>
  <c r="S45" i="4" s="1"/>
  <c r="K44" i="4"/>
  <c r="S44" i="4" s="1"/>
  <c r="K43" i="4"/>
  <c r="S43" i="4" s="1"/>
  <c r="K42" i="4"/>
  <c r="S42" i="4" s="1"/>
  <c r="K41" i="4"/>
  <c r="S41" i="4" s="1"/>
  <c r="K40" i="4"/>
  <c r="S40" i="4" s="1"/>
  <c r="K39" i="4"/>
  <c r="S39" i="4" s="1"/>
  <c r="K38" i="4"/>
  <c r="K36" i="4"/>
  <c r="S36" i="4" s="1"/>
  <c r="K35" i="4"/>
  <c r="S35" i="4" s="1"/>
  <c r="K34" i="4"/>
  <c r="S34" i="4" s="1"/>
  <c r="K33" i="4"/>
  <c r="K31" i="4"/>
  <c r="S31" i="4" s="1"/>
  <c r="K30" i="4"/>
  <c r="S30" i="4" s="1"/>
  <c r="K29" i="4"/>
  <c r="S29" i="4" s="1"/>
  <c r="K28" i="4"/>
  <c r="S28" i="4" s="1"/>
  <c r="K27" i="4"/>
  <c r="S27" i="4" s="1"/>
  <c r="K26" i="4"/>
  <c r="S26" i="4" s="1"/>
  <c r="K25" i="4"/>
  <c r="S25" i="4" s="1"/>
  <c r="K24" i="4"/>
  <c r="S24" i="4" s="1"/>
  <c r="K23" i="4"/>
  <c r="S23" i="4" s="1"/>
  <c r="K22" i="4"/>
  <c r="S22" i="4" s="1"/>
  <c r="K21" i="4"/>
  <c r="S21" i="4" s="1"/>
  <c r="K20" i="4"/>
  <c r="K167" i="5"/>
  <c r="T167" i="5" s="1"/>
  <c r="K166" i="5"/>
  <c r="T166" i="5" s="1"/>
  <c r="K165" i="5"/>
  <c r="T165" i="5" s="1"/>
  <c r="K164" i="5"/>
  <c r="K162" i="5"/>
  <c r="T162" i="5" s="1"/>
  <c r="K161" i="5"/>
  <c r="T161" i="5" s="1"/>
  <c r="K160" i="5"/>
  <c r="T160" i="5" s="1"/>
  <c r="K159" i="5"/>
  <c r="T159" i="5" s="1"/>
  <c r="K158" i="5"/>
  <c r="T158" i="5" s="1"/>
  <c r="K157" i="5"/>
  <c r="T157" i="5" s="1"/>
  <c r="K156" i="5"/>
  <c r="T156" i="5" s="1"/>
  <c r="K155" i="5"/>
  <c r="T155" i="5" s="1"/>
  <c r="K154" i="5"/>
  <c r="T154" i="5" s="1"/>
  <c r="K153" i="5"/>
  <c r="T153" i="5" s="1"/>
  <c r="K152" i="5"/>
  <c r="T152" i="5" s="1"/>
  <c r="K151" i="5"/>
  <c r="T151" i="5" s="1"/>
  <c r="K150" i="5"/>
  <c r="T150" i="5" s="1"/>
  <c r="K149" i="5"/>
  <c r="T149" i="5" s="1"/>
  <c r="K148" i="5"/>
  <c r="T148" i="5" s="1"/>
  <c r="K147" i="5"/>
  <c r="T147" i="5" s="1"/>
  <c r="K146" i="5"/>
  <c r="T146" i="5" s="1"/>
  <c r="K145" i="5"/>
  <c r="T145" i="5" s="1"/>
  <c r="K144" i="5"/>
  <c r="K142" i="5"/>
  <c r="T142" i="5" s="1"/>
  <c r="K141" i="5"/>
  <c r="K139" i="5"/>
  <c r="T139" i="5" s="1"/>
  <c r="K138" i="5"/>
  <c r="T138" i="5" s="1"/>
  <c r="K137" i="5"/>
  <c r="T137" i="5" s="1"/>
  <c r="K136" i="5"/>
  <c r="T136" i="5" s="1"/>
  <c r="K135" i="5"/>
  <c r="T135" i="5" s="1"/>
  <c r="K134" i="5"/>
  <c r="T134" i="5" s="1"/>
  <c r="K133" i="5"/>
  <c r="T133" i="5" s="1"/>
  <c r="K132" i="5"/>
  <c r="T132" i="5" s="1"/>
  <c r="K131" i="5"/>
  <c r="T131" i="5" s="1"/>
  <c r="K130" i="5"/>
  <c r="K128" i="5"/>
  <c r="T128" i="5" s="1"/>
  <c r="K127" i="5"/>
  <c r="T127" i="5" s="1"/>
  <c r="K126" i="5"/>
  <c r="T126" i="5" s="1"/>
  <c r="K125" i="5"/>
  <c r="T125" i="5" s="1"/>
  <c r="K124" i="5"/>
  <c r="T124" i="5" s="1"/>
  <c r="K123" i="5"/>
  <c r="T123" i="5" s="1"/>
  <c r="K122" i="5"/>
  <c r="T122" i="5" s="1"/>
  <c r="K121" i="5"/>
  <c r="T121" i="5" s="1"/>
  <c r="K120" i="5"/>
  <c r="T120" i="5" s="1"/>
  <c r="K119" i="5"/>
  <c r="T119" i="5" s="1"/>
  <c r="K118" i="5"/>
  <c r="T118" i="5" s="1"/>
  <c r="K117" i="5"/>
  <c r="T117" i="5" s="1"/>
  <c r="K116" i="5"/>
  <c r="T116" i="5" s="1"/>
  <c r="K115" i="5"/>
  <c r="K113" i="5"/>
  <c r="T113" i="5" s="1"/>
  <c r="K112" i="5"/>
  <c r="T112" i="5" s="1"/>
  <c r="K111" i="5"/>
  <c r="T111" i="5" s="1"/>
  <c r="K110" i="5"/>
  <c r="T110" i="5" s="1"/>
  <c r="K109" i="5"/>
  <c r="T109" i="5" s="1"/>
  <c r="K108" i="5"/>
  <c r="T108" i="5" s="1"/>
  <c r="K107" i="5"/>
  <c r="T107" i="5" s="1"/>
  <c r="K106" i="5"/>
  <c r="T106" i="5" s="1"/>
  <c r="K105" i="5"/>
  <c r="T105" i="5" s="1"/>
  <c r="K104" i="5"/>
  <c r="T104" i="5" s="1"/>
  <c r="K103" i="5"/>
  <c r="T103" i="5" s="1"/>
  <c r="K102" i="5"/>
  <c r="T102" i="5" s="1"/>
  <c r="K101" i="5"/>
  <c r="T101" i="5" s="1"/>
  <c r="K100" i="5"/>
  <c r="T100" i="5" s="1"/>
  <c r="K99" i="5"/>
  <c r="T99" i="5" s="1"/>
  <c r="K98" i="5"/>
  <c r="T98" i="5" s="1"/>
  <c r="K97" i="5"/>
  <c r="T97" i="5" s="1"/>
  <c r="K96" i="5"/>
  <c r="T96" i="5" s="1"/>
  <c r="K95" i="5"/>
  <c r="T95" i="5" s="1"/>
  <c r="K94" i="5"/>
  <c r="K92" i="5"/>
  <c r="T92" i="5" s="1"/>
  <c r="K91" i="5"/>
  <c r="T91" i="5" s="1"/>
  <c r="K90" i="5"/>
  <c r="T90" i="5" s="1"/>
  <c r="K89" i="5"/>
  <c r="T89" i="5" s="1"/>
  <c r="K88" i="5"/>
  <c r="T88" i="5" s="1"/>
  <c r="K87" i="5"/>
  <c r="T87" i="5" s="1"/>
  <c r="K86" i="5"/>
  <c r="T86" i="5" s="1"/>
  <c r="K85" i="5"/>
  <c r="T85" i="5" s="1"/>
  <c r="K84" i="5"/>
  <c r="T84" i="5" s="1"/>
  <c r="K83" i="5"/>
  <c r="T83" i="5" s="1"/>
  <c r="K82" i="5"/>
  <c r="T82" i="5" s="1"/>
  <c r="K81" i="5"/>
  <c r="T81" i="5" s="1"/>
  <c r="K80" i="5"/>
  <c r="T80" i="5" s="1"/>
  <c r="K79" i="5"/>
  <c r="T79" i="5" s="1"/>
  <c r="K78" i="5"/>
  <c r="T78" i="5" s="1"/>
  <c r="K77" i="5"/>
  <c r="T77" i="5" s="1"/>
  <c r="K76" i="5"/>
  <c r="T76" i="5" s="1"/>
  <c r="K75" i="5"/>
  <c r="T75" i="5" s="1"/>
  <c r="K74" i="5"/>
  <c r="T74" i="5" s="1"/>
  <c r="K73" i="5"/>
  <c r="T73" i="5" s="1"/>
  <c r="K72" i="5"/>
  <c r="T72" i="5" s="1"/>
  <c r="K71" i="5"/>
  <c r="T71" i="5" s="1"/>
  <c r="K70" i="5"/>
  <c r="T70" i="5" s="1"/>
  <c r="K69" i="5"/>
  <c r="T69" i="5" s="1"/>
  <c r="K68" i="5"/>
  <c r="T68" i="5" s="1"/>
  <c r="K67" i="5"/>
  <c r="T67" i="5" s="1"/>
  <c r="K66" i="5"/>
  <c r="K64" i="5"/>
  <c r="T64" i="5" s="1"/>
  <c r="K63" i="5"/>
  <c r="K61" i="5"/>
  <c r="T61" i="5" s="1"/>
  <c r="K60" i="5"/>
  <c r="T60" i="5" s="1"/>
  <c r="K59" i="5"/>
  <c r="T59" i="5" s="1"/>
  <c r="K58" i="5"/>
  <c r="T58" i="5" s="1"/>
  <c r="K57" i="5"/>
  <c r="T57" i="5" s="1"/>
  <c r="K56" i="5"/>
  <c r="K54" i="5"/>
  <c r="T54" i="5" s="1"/>
  <c r="K53" i="5"/>
  <c r="T53" i="5" s="1"/>
  <c r="K52" i="5"/>
  <c r="T52" i="5" s="1"/>
  <c r="K51" i="5"/>
  <c r="T51" i="5" s="1"/>
  <c r="K50" i="5"/>
  <c r="T50" i="5" s="1"/>
  <c r="K49" i="5"/>
  <c r="T49" i="5" s="1"/>
  <c r="K48" i="5"/>
  <c r="T48" i="5" s="1"/>
  <c r="K47" i="5"/>
  <c r="T47" i="5" s="1"/>
  <c r="K46" i="5"/>
  <c r="T46" i="5" s="1"/>
  <c r="K45" i="5"/>
  <c r="T45" i="5" s="1"/>
  <c r="K44" i="5"/>
  <c r="T44" i="5" s="1"/>
  <c r="K43" i="5"/>
  <c r="T43" i="5" s="1"/>
  <c r="K42" i="5"/>
  <c r="T42" i="5" s="1"/>
  <c r="K41" i="5"/>
  <c r="T41" i="5" s="1"/>
  <c r="K40" i="5"/>
  <c r="T40" i="5" s="1"/>
  <c r="K39" i="5"/>
  <c r="T39" i="5" s="1"/>
  <c r="K38" i="5"/>
  <c r="T38" i="5" s="1"/>
  <c r="K37" i="5"/>
  <c r="T37" i="5" s="1"/>
  <c r="K36" i="5"/>
  <c r="T36" i="5" s="1"/>
  <c r="K35" i="5"/>
  <c r="T35" i="5" s="1"/>
  <c r="K34" i="5"/>
  <c r="T34" i="5" s="1"/>
  <c r="K33" i="5"/>
  <c r="T33" i="5" s="1"/>
  <c r="K32" i="5"/>
  <c r="T32" i="5" s="1"/>
  <c r="K31" i="5"/>
  <c r="T31" i="5" s="1"/>
  <c r="K30" i="5"/>
  <c r="T30" i="5" s="1"/>
  <c r="K29" i="5"/>
  <c r="K27" i="5"/>
  <c r="T27" i="5" s="1"/>
  <c r="K26" i="5"/>
  <c r="T26" i="5" s="1"/>
  <c r="K25" i="5"/>
  <c r="T25" i="5" s="1"/>
  <c r="K24" i="5"/>
  <c r="T24" i="5" s="1"/>
  <c r="K23" i="5"/>
  <c r="T23" i="5" s="1"/>
  <c r="K22" i="5"/>
  <c r="T22" i="5" s="1"/>
  <c r="K21" i="5"/>
  <c r="T21" i="5" s="1"/>
  <c r="K20" i="5"/>
  <c r="K47" i="6"/>
  <c r="K45" i="6"/>
  <c r="S45" i="6" s="1"/>
  <c r="K44" i="6"/>
  <c r="S44" i="6" s="1"/>
  <c r="K43" i="6"/>
  <c r="K41" i="6"/>
  <c r="S41" i="6" s="1"/>
  <c r="K40" i="6"/>
  <c r="K38" i="6"/>
  <c r="S38" i="6" s="1"/>
  <c r="K37" i="6"/>
  <c r="S37" i="6" s="1"/>
  <c r="K36" i="6"/>
  <c r="S36" i="6" s="1"/>
  <c r="K35" i="6"/>
  <c r="S35" i="6" s="1"/>
  <c r="K33" i="6"/>
  <c r="K31" i="6"/>
  <c r="S31" i="6" s="1"/>
  <c r="K30" i="6"/>
  <c r="S30" i="6" s="1"/>
  <c r="K29" i="6"/>
  <c r="S29" i="6" s="1"/>
  <c r="K28" i="6"/>
  <c r="S28" i="6" s="1"/>
  <c r="K27" i="6"/>
  <c r="S27" i="6" s="1"/>
  <c r="K26" i="6"/>
  <c r="S26" i="6" s="1"/>
  <c r="K25" i="6"/>
  <c r="S25" i="6" s="1"/>
  <c r="K24" i="6"/>
  <c r="S24" i="6" s="1"/>
  <c r="K23" i="6"/>
  <c r="S23" i="6" s="1"/>
  <c r="K22" i="6"/>
  <c r="S22" i="6" s="1"/>
  <c r="K21" i="6"/>
  <c r="S21" i="6" s="1"/>
  <c r="K20" i="6"/>
  <c r="K66" i="7"/>
  <c r="S66" i="7" s="1"/>
  <c r="K65" i="7"/>
  <c r="K63" i="7"/>
  <c r="S63" i="7" s="1"/>
  <c r="K62" i="7"/>
  <c r="S62" i="7" s="1"/>
  <c r="K61" i="7"/>
  <c r="S61" i="7" s="1"/>
  <c r="K60" i="7"/>
  <c r="S60" i="7" s="1"/>
  <c r="K59" i="7"/>
  <c r="K57" i="7"/>
  <c r="S57" i="7" s="1"/>
  <c r="K56" i="7"/>
  <c r="S56" i="7" s="1"/>
  <c r="K55" i="7"/>
  <c r="S55" i="7" s="1"/>
  <c r="K54" i="7"/>
  <c r="S54" i="7" s="1"/>
  <c r="K53" i="7"/>
  <c r="K51" i="7"/>
  <c r="S51" i="7" s="1"/>
  <c r="K50" i="7"/>
  <c r="S50" i="7" s="1"/>
  <c r="K49" i="7"/>
  <c r="S49" i="7" s="1"/>
  <c r="K48" i="7"/>
  <c r="S48" i="7" s="1"/>
  <c r="K47" i="7"/>
  <c r="S47" i="7" s="1"/>
  <c r="K46" i="7"/>
  <c r="K44" i="7"/>
  <c r="S44" i="7" s="1"/>
  <c r="K43" i="7"/>
  <c r="S43" i="7" s="1"/>
  <c r="K42" i="7"/>
  <c r="K40" i="7"/>
  <c r="S40" i="7" s="1"/>
  <c r="K39" i="7"/>
  <c r="K37" i="7"/>
  <c r="S37" i="7" s="1"/>
  <c r="K36" i="7"/>
  <c r="S36" i="7" s="1"/>
  <c r="K35" i="7"/>
  <c r="S35" i="7" s="1"/>
  <c r="K34" i="7"/>
  <c r="K32" i="7"/>
  <c r="S32" i="7" s="1"/>
  <c r="K31" i="7"/>
  <c r="S31" i="7" s="1"/>
  <c r="K30" i="7"/>
  <c r="S30" i="7" s="1"/>
  <c r="K29" i="7"/>
  <c r="S29" i="7" s="1"/>
  <c r="K28" i="7"/>
  <c r="S28" i="7" s="1"/>
  <c r="K27" i="7"/>
  <c r="S27" i="7" s="1"/>
  <c r="K26" i="7"/>
  <c r="S26" i="7" s="1"/>
  <c r="K25" i="7"/>
  <c r="S25" i="7" s="1"/>
  <c r="K24" i="7"/>
  <c r="S24" i="7" s="1"/>
  <c r="K23" i="7"/>
  <c r="K22" i="7"/>
  <c r="K30" i="8"/>
  <c r="S30" i="8" s="1"/>
  <c r="K29" i="8"/>
  <c r="S29" i="8" s="1"/>
  <c r="K28" i="8"/>
  <c r="S28" i="8" s="1"/>
  <c r="K27" i="8"/>
  <c r="S27" i="8" s="1"/>
  <c r="K26" i="8"/>
  <c r="K24" i="8"/>
  <c r="K22" i="8"/>
  <c r="E12" i="8"/>
  <c r="K22" i="9"/>
  <c r="S22" i="9" s="1"/>
  <c r="K21" i="9"/>
  <c r="S21" i="9" s="1"/>
  <c r="K20" i="9"/>
  <c r="J31" i="1"/>
  <c r="J30" i="1"/>
  <c r="J29" i="1"/>
  <c r="J28" i="1"/>
  <c r="J27" i="1"/>
  <c r="J26" i="1"/>
  <c r="J25" i="1"/>
  <c r="J24" i="1"/>
  <c r="J23" i="1"/>
  <c r="J22" i="1"/>
  <c r="J21" i="1"/>
  <c r="J20" i="1"/>
  <c r="S23" i="7" l="1"/>
  <c r="AO20" i="2"/>
  <c r="AO10" i="2" s="1"/>
  <c r="AP27" i="2" s="1"/>
  <c r="AT11" i="2"/>
  <c r="AV11" i="2" s="1"/>
  <c r="K19" i="9"/>
  <c r="K18" i="9" s="1"/>
  <c r="AL22" i="2" s="1"/>
  <c r="S20" i="9"/>
  <c r="K23" i="8"/>
  <c r="S24" i="8"/>
  <c r="K21" i="8"/>
  <c r="S22" i="8"/>
  <c r="K25" i="8"/>
  <c r="S26" i="8"/>
  <c r="K33" i="7"/>
  <c r="S34" i="7"/>
  <c r="K38" i="7"/>
  <c r="S39" i="7"/>
  <c r="K64" i="7"/>
  <c r="S65" i="7"/>
  <c r="K41" i="7"/>
  <c r="S42" i="7"/>
  <c r="K21" i="7"/>
  <c r="S22" i="7"/>
  <c r="K58" i="7"/>
  <c r="S59" i="7"/>
  <c r="K45" i="7"/>
  <c r="S46" i="7"/>
  <c r="K52" i="7"/>
  <c r="S53" i="7"/>
  <c r="K46" i="6"/>
  <c r="S47" i="6"/>
  <c r="K39" i="6"/>
  <c r="S40" i="6"/>
  <c r="K19" i="6"/>
  <c r="S20" i="6"/>
  <c r="S33" i="6"/>
  <c r="K42" i="6"/>
  <c r="S43" i="6"/>
  <c r="K93" i="5"/>
  <c r="T94" i="5"/>
  <c r="K55" i="5"/>
  <c r="T56" i="5"/>
  <c r="K140" i="5"/>
  <c r="T141" i="5"/>
  <c r="K19" i="5"/>
  <c r="T20" i="5"/>
  <c r="K65" i="5"/>
  <c r="T66" i="5"/>
  <c r="K114" i="5"/>
  <c r="T115" i="5"/>
  <c r="K129" i="5"/>
  <c r="T130" i="5"/>
  <c r="K143" i="5"/>
  <c r="T144" i="5"/>
  <c r="K62" i="5"/>
  <c r="T63" i="5"/>
  <c r="K28" i="5"/>
  <c r="T29" i="5"/>
  <c r="K163" i="5"/>
  <c r="T164" i="5"/>
  <c r="K37" i="4"/>
  <c r="S38" i="4"/>
  <c r="K19" i="4"/>
  <c r="S20" i="4"/>
  <c r="K32" i="4"/>
  <c r="S33" i="4"/>
  <c r="K25" i="3"/>
  <c r="S26" i="3"/>
  <c r="K19" i="3"/>
  <c r="S20" i="3"/>
  <c r="K34" i="3"/>
  <c r="S35" i="3"/>
  <c r="K29" i="3"/>
  <c r="S30" i="3"/>
  <c r="K55" i="14"/>
  <c r="S56" i="14"/>
  <c r="K87" i="14"/>
  <c r="S88" i="14"/>
  <c r="K57" i="14"/>
  <c r="S58" i="14"/>
  <c r="K64" i="14"/>
  <c r="S65" i="14"/>
  <c r="S20" i="14"/>
  <c r="K19" i="14"/>
  <c r="K44" i="14"/>
  <c r="S45" i="14"/>
  <c r="S53" i="14"/>
  <c r="K52" i="14"/>
  <c r="K43" i="13"/>
  <c r="T44" i="13"/>
  <c r="K19" i="13"/>
  <c r="T20" i="13"/>
  <c r="K46" i="13"/>
  <c r="T47" i="13"/>
  <c r="K48" i="13"/>
  <c r="T49" i="13"/>
  <c r="K57" i="13"/>
  <c r="T58" i="13"/>
  <c r="K88" i="13"/>
  <c r="T89" i="13"/>
  <c r="J18" i="1"/>
  <c r="AD10" i="2"/>
  <c r="AT22" i="2" l="1"/>
  <c r="AV22" i="2" s="1"/>
  <c r="AN22" i="2"/>
  <c r="K20" i="7"/>
  <c r="AL20" i="2" s="1"/>
  <c r="K20" i="8"/>
  <c r="AL21" i="2" s="1"/>
  <c r="AL19" i="2"/>
  <c r="K18" i="5"/>
  <c r="AL18" i="2" s="1"/>
  <c r="K18" i="4"/>
  <c r="AL17" i="2" s="1"/>
  <c r="AN17" i="2" s="1"/>
  <c r="K18" i="3"/>
  <c r="AL16" i="2" s="1"/>
  <c r="K18" i="14"/>
  <c r="AL15" i="2" s="1"/>
  <c r="K18" i="13"/>
  <c r="AL14" i="2" s="1"/>
  <c r="AN14" i="2" s="1"/>
  <c r="AT19" i="2" l="1"/>
  <c r="AV19" i="2" s="1"/>
  <c r="AN19" i="2"/>
  <c r="AT21" i="2"/>
  <c r="AV21" i="2" s="1"/>
  <c r="AN21" i="2"/>
  <c r="AT15" i="2"/>
  <c r="AV15" i="2" s="1"/>
  <c r="AN15" i="2"/>
  <c r="AT16" i="2"/>
  <c r="AV16" i="2" s="1"/>
  <c r="AN16" i="2"/>
  <c r="AT18" i="2"/>
  <c r="AV18" i="2" s="1"/>
  <c r="AN18" i="2"/>
  <c r="AT20" i="2"/>
  <c r="AV20" i="2" s="1"/>
  <c r="AN20" i="2"/>
  <c r="AT17" i="2"/>
  <c r="AV17" i="2" s="1"/>
  <c r="AT14" i="2"/>
  <c r="AL10" i="2"/>
  <c r="AM28" i="2" s="1"/>
  <c r="AN10" i="2" l="1"/>
  <c r="AN28" i="2"/>
  <c r="AV14" i="2"/>
  <c r="AK10" i="2" s="1"/>
  <c r="AT10" i="2"/>
  <c r="AV10" i="2" s="1"/>
  <c r="AL28" i="2"/>
  <c r="AP4" i="2" l="1"/>
</calcChain>
</file>

<file path=xl/sharedStrings.xml><?xml version="1.0" encoding="utf-8"?>
<sst xmlns="http://schemas.openxmlformats.org/spreadsheetml/2006/main" count="4107" uniqueCount="1167">
  <si>
    <t>2</t>
  </si>
  <si>
    <t>Stavba:</t>
  </si>
  <si>
    <t>Objekt:</t>
  </si>
  <si>
    <t>KOI03 - Výdaje nepřímé</t>
  </si>
  <si>
    <t>Soupis:</t>
  </si>
  <si>
    <t>KOI031 - Vedlejší rozpočtové náklady</t>
  </si>
  <si>
    <t/>
  </si>
  <si>
    <t>Místo:</t>
  </si>
  <si>
    <t xml:space="preserve"> </t>
  </si>
  <si>
    <t>Datum:</t>
  </si>
  <si>
    <t>Zadavatel:</t>
  </si>
  <si>
    <t>OU Bělkovice - Lašťany</t>
  </si>
  <si>
    <t>Uchazeč:</t>
  </si>
  <si>
    <t>Projektant:</t>
  </si>
  <si>
    <t>KOIŠARCH s.r.o.</t>
  </si>
  <si>
    <t>Zpracovatel:</t>
  </si>
  <si>
    <t>Cena bez DPH</t>
  </si>
  <si>
    <t>Cena celkem [CZK]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</si>
  <si>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</si>
  <si>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</si>
  <si>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</si>
  <si>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</si>
  <si>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</si>
  <si>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</si>
  <si>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</si>
  <si>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</si>
  <si>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</si>
  <si>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</si>
  <si>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VRN</t>
  </si>
  <si>
    <t>Vedlejší rozpočtové náklady</t>
  </si>
  <si>
    <t>5</t>
  </si>
  <si>
    <t>1</t>
  </si>
  <si>
    <t>K</t>
  </si>
  <si>
    <t>VRN1</t>
  </si>
  <si>
    <t xml:space="preserve">zařízení staveniště (zřízení, pronájem a odstranění ZS, dopravní značení na staveništi ) </t>
  </si>
  <si>
    <t>kpl</t>
  </si>
  <si>
    <t>VRN2</t>
  </si>
  <si>
    <t>kompletační činnost hlavního dodavatele stavby</t>
  </si>
  <si>
    <t>3</t>
  </si>
  <si>
    <t>VRN3</t>
  </si>
  <si>
    <t>autorský dozor projektanta</t>
  </si>
  <si>
    <t>4</t>
  </si>
  <si>
    <t>VRN4</t>
  </si>
  <si>
    <t>ostatní zkoušky, měření</t>
  </si>
  <si>
    <t>VRN5</t>
  </si>
  <si>
    <t>průzkumné, geodetické projektové práce  před výstavbou</t>
  </si>
  <si>
    <t>6</t>
  </si>
  <si>
    <t>VRN6</t>
  </si>
  <si>
    <t>vyznačení, popis a zdůvodnění případných změn a odchylek skutečného provedení stavby od stavebního povolení a ověření projektové dokumentace</t>
  </si>
  <si>
    <t>7</t>
  </si>
  <si>
    <t>VRN7</t>
  </si>
  <si>
    <t>průzkumné, geodetické projektové práce  při provádění stavby</t>
  </si>
  <si>
    <t>8</t>
  </si>
  <si>
    <t>VRN8</t>
  </si>
  <si>
    <t>dokumentace pro provádění stavby</t>
  </si>
  <si>
    <t>9</t>
  </si>
  <si>
    <t>VRN9</t>
  </si>
  <si>
    <t xml:space="preserve">geodetické zaměření skutečného provedení díla </t>
  </si>
  <si>
    <t>10</t>
  </si>
  <si>
    <t>VRN10</t>
  </si>
  <si>
    <t>geodetické práce před výstavbou pro obj. sadových úprav</t>
  </si>
  <si>
    <t>11</t>
  </si>
  <si>
    <t>VRN11</t>
  </si>
  <si>
    <t>geodetické práce připrovádění stavby pro objekt sadových úprav</t>
  </si>
  <si>
    <t>12</t>
  </si>
  <si>
    <t>VRN12</t>
  </si>
  <si>
    <t>dokumentace skutečného provedení pro objekt sadových úprav</t>
  </si>
  <si>
    <t>KOI02 - Výdaje přímé - doprovodná aktivita</t>
  </si>
  <si>
    <t>KOI023 - SO 701 Objekty pozemních staveb- podium</t>
  </si>
  <si>
    <t>701</t>
  </si>
  <si>
    <t>Mobiliář</t>
  </si>
  <si>
    <t>7011(R)</t>
  </si>
  <si>
    <t>D+M stojanu na kola vč. kotvení - viz PD</t>
  </si>
  <si>
    <t>ks</t>
  </si>
  <si>
    <t>16</t>
  </si>
  <si>
    <t>7012(R)</t>
  </si>
  <si>
    <t>D+M lavičky vč. kotvení - viz PD</t>
  </si>
  <si>
    <t>7013(R)</t>
  </si>
  <si>
    <t>D+M odpadkového koše vč. kotvení - viz PD</t>
  </si>
  <si>
    <t>KOI022 - SO 401 VO + elektroinstalace</t>
  </si>
  <si>
    <t>Úroveň 3:</t>
  </si>
  <si>
    <t>D1</t>
  </si>
  <si>
    <t>Rozvaděč</t>
  </si>
  <si>
    <t>Pol1</t>
  </si>
  <si>
    <t>Síťový NVR multiplexer pro 8 IP kamer, PoE. připojení 8 audio/video signálů po IP, komprese H.264, MJPEG, záznamová rychlost 64Mbps, rozlišení až 8MPx, až 2 HDD 4TB, 4 alarmové vstupy, 3 alarmové výstupy, výstup pro monitor HDMI a VGA, 2x USB, 1x TCP/IP 1</t>
  </si>
  <si>
    <t>64</t>
  </si>
  <si>
    <t>D2</t>
  </si>
  <si>
    <t>IP kamery apod.</t>
  </si>
  <si>
    <t>Pol2</t>
  </si>
  <si>
    <t>Venkovní bezpečnostní IP kamera s rozlišením 720P</t>
  </si>
  <si>
    <t>D3</t>
  </si>
  <si>
    <t xml:space="preserve">Ostatní </t>
  </si>
  <si>
    <t>Pol3</t>
  </si>
  <si>
    <t>HZS</t>
  </si>
  <si>
    <t>hod</t>
  </si>
  <si>
    <t>Pol4</t>
  </si>
  <si>
    <t>Spolupráce s ostatními profesemi</t>
  </si>
  <si>
    <t>Pol5</t>
  </si>
  <si>
    <t>Oživení systému</t>
  </si>
  <si>
    <t>Pol6</t>
  </si>
  <si>
    <t>soub</t>
  </si>
  <si>
    <t>Pol7</t>
  </si>
  <si>
    <t>KOI0221 - Silnoproudá elektrotechnika</t>
  </si>
  <si>
    <t>Svítidla včetně zdrojů</t>
  </si>
  <si>
    <t>Pol23</t>
  </si>
  <si>
    <t>Svítidlo zemní IP67 pro nasvětlení stromu</t>
  </si>
  <si>
    <t>Pol24</t>
  </si>
  <si>
    <t>Svítidlo veřejného osvětlení 2k0 727 1788lm/13,9W na výložník</t>
  </si>
  <si>
    <t>Pol25</t>
  </si>
  <si>
    <t>Svítidlo veřejného osvětlení 2k0 727 1788lm/13,9W na stožár VO</t>
  </si>
  <si>
    <t>Pol26</t>
  </si>
  <si>
    <t>Stožár veřejného osvětlení 5m, žárový zinek</t>
  </si>
  <si>
    <t>Pol27</t>
  </si>
  <si>
    <t>Výložník nástěnný 250mm - žárový zinek</t>
  </si>
  <si>
    <t>Pol28</t>
  </si>
  <si>
    <t>Výzbroj stožárová průchozí</t>
  </si>
  <si>
    <t>Pol29</t>
  </si>
  <si>
    <t>Patka pro ukotvení stožáru včetně výkopu a materiálu</t>
  </si>
  <si>
    <t>Pol30</t>
  </si>
  <si>
    <t>drát FeZn ø10mm</t>
  </si>
  <si>
    <t>m</t>
  </si>
  <si>
    <t>Pol31</t>
  </si>
  <si>
    <t>svorka drát-drát FeZn</t>
  </si>
  <si>
    <t>Pol32</t>
  </si>
  <si>
    <t>Připojení stožáru VO k uzemňovací soustavě</t>
  </si>
  <si>
    <t>Pol33</t>
  </si>
  <si>
    <t>Přidružený materiál (svorky apod.)</t>
  </si>
  <si>
    <t>Jiné práce</t>
  </si>
  <si>
    <t>Pol10</t>
  </si>
  <si>
    <t>Ruční výkop rýhy 35/90cm, hornina 4</t>
  </si>
  <si>
    <t>13</t>
  </si>
  <si>
    <t>Pol11</t>
  </si>
  <si>
    <t>Zříz. lože, kryt cihla 35cm podél, štěrkopísek 5cm</t>
  </si>
  <si>
    <t>14</t>
  </si>
  <si>
    <t>Pol12</t>
  </si>
  <si>
    <t>Zakrytí výstraž. folií šíř. 33cm</t>
  </si>
  <si>
    <t>15</t>
  </si>
  <si>
    <t>Pol13</t>
  </si>
  <si>
    <t>Ruční zához  rýhy 35/90cm, hornina 4</t>
  </si>
  <si>
    <t>D4</t>
  </si>
  <si>
    <t>Ostatní</t>
  </si>
  <si>
    <t>Pol14</t>
  </si>
  <si>
    <t>Koordinace a spolupráce s jinými profesemi</t>
  </si>
  <si>
    <t>17</t>
  </si>
  <si>
    <t>Pol15</t>
  </si>
  <si>
    <t>0011</t>
  </si>
  <si>
    <t>Elektroinstalační materiál</t>
  </si>
  <si>
    <t>18</t>
  </si>
  <si>
    <t>Korugovaná chránička DN40</t>
  </si>
  <si>
    <t>19</t>
  </si>
  <si>
    <t>Korugovaná chránička DN50</t>
  </si>
  <si>
    <t>20</t>
  </si>
  <si>
    <t>Korugovaná chránička DN63</t>
  </si>
  <si>
    <t>0012</t>
  </si>
  <si>
    <t>Kabelové soubory</t>
  </si>
  <si>
    <t>21</t>
  </si>
  <si>
    <t>CYKY-J 3x1,5</t>
  </si>
  <si>
    <t>22</t>
  </si>
  <si>
    <t>CYKY-J 3x2,5</t>
  </si>
  <si>
    <t>23</t>
  </si>
  <si>
    <t>CYKY-J 5x2,5</t>
  </si>
  <si>
    <t>24</t>
  </si>
  <si>
    <t>CYKY-J 3x4</t>
  </si>
  <si>
    <t>25</t>
  </si>
  <si>
    <t>Pol8</t>
  </si>
  <si>
    <t>CYKY-J 5x6</t>
  </si>
  <si>
    <t>26</t>
  </si>
  <si>
    <t>Pol9</t>
  </si>
  <si>
    <t>CYKY-J 5x10</t>
  </si>
  <si>
    <t>27</t>
  </si>
  <si>
    <t>28</t>
  </si>
  <si>
    <t>29</t>
  </si>
  <si>
    <t>30</t>
  </si>
  <si>
    <t>31</t>
  </si>
  <si>
    <t>Pol22</t>
  </si>
  <si>
    <t>Provedení vých. elektrorevize, vyprac. reviz. zprávy</t>
  </si>
  <si>
    <t>0021</t>
  </si>
  <si>
    <t>Instalační materiál</t>
  </si>
  <si>
    <t>32</t>
  </si>
  <si>
    <t>Pol16</t>
  </si>
  <si>
    <t>Zemní zapuštěný výsuvný zásuvkový modul, 170x170x255 mm, eloxovaný, vzhled Al, uzavřený IP67, vč. Klíče, 1x CEE 400V 16A, 3x zásuvka 230V 16A</t>
  </si>
  <si>
    <t>33</t>
  </si>
  <si>
    <t>Pol18</t>
  </si>
  <si>
    <t>Nabíječka elemobilů, včetně obslužného (platebního) terminálu, RFID,  22kW, komunikace GSM/WIFI</t>
  </si>
  <si>
    <t>34</t>
  </si>
  <si>
    <t>Pol19</t>
  </si>
  <si>
    <t>Proudový chránič iID 4P 40A 30mA typ B-E (doplnit do RE)</t>
  </si>
  <si>
    <t>35</t>
  </si>
  <si>
    <t>Pol20</t>
  </si>
  <si>
    <t>Nabíječka elektrokol pro venkovní instalaci, včetně obslužného (platebního) terminálu, komunikace GSM/WIFI</t>
  </si>
  <si>
    <t>36</t>
  </si>
  <si>
    <t>Pol21</t>
  </si>
  <si>
    <t>Přidružený materiál</t>
  </si>
  <si>
    <t>M</t>
  </si>
  <si>
    <t>OST</t>
  </si>
  <si>
    <t>37</t>
  </si>
  <si>
    <t>Pol101</t>
  </si>
  <si>
    <t>Mimostaveništní doprava 1,5%</t>
  </si>
  <si>
    <t>38</t>
  </si>
  <si>
    <t>Pol102</t>
  </si>
  <si>
    <t>Přesun dodávek 1 %</t>
  </si>
  <si>
    <t>KOI021 - SO 102 Stavební úpravy místní komunikace</t>
  </si>
  <si>
    <t>HSV</t>
  </si>
  <si>
    <t>Práce a dodávky HSV</t>
  </si>
  <si>
    <t>Zemní práce</t>
  </si>
  <si>
    <t>113107124</t>
  </si>
  <si>
    <t>Odstranění podkladu z kameniva drceného tl přes 300 do 400 mm ručně</t>
  </si>
  <si>
    <t>m2</t>
  </si>
  <si>
    <t>113107224</t>
  </si>
  <si>
    <t>Odstranění podkladu z kameniva drceného tl přes 300 do 400 mm strojně pl přes 200 m2</t>
  </si>
  <si>
    <t>113154364</t>
  </si>
  <si>
    <t>Frézování živičného krytu tl 100 mm pruh š přes 1 do 2 m pl přes 1000 do 10000 m2 s překážkami v trase</t>
  </si>
  <si>
    <t>122251102</t>
  </si>
  <si>
    <t>Odkopávky a prokopávky nezapažené v hornině třídy těžitelnosti I skupiny 3 objem do 50 m3 strojně</t>
  </si>
  <si>
    <t>m3</t>
  </si>
  <si>
    <t>162451106</t>
  </si>
  <si>
    <t>Vodorovné přemístění přes 1 500 do 2000 m výkopku/sypaniny z horniny třídy těžitelnosti I skupiny 1 až 3</t>
  </si>
  <si>
    <t>162751117</t>
  </si>
  <si>
    <t>Vodorovné přemístění přes 9 000 do 10000 m výkopku/sypaniny z horniny třídy těžitelnosti I skupiny 1 až 3</t>
  </si>
  <si>
    <t>162751139</t>
  </si>
  <si>
    <t>Příplatek k vodorovnému přemístění výkopku/sypaniny z horniny třídy těžitelnosti II skupiny 4 a 5 ZKD 1000 m přes 10000 m</t>
  </si>
  <si>
    <t>162901(R)</t>
  </si>
  <si>
    <t>poplatek za skládku - výkop</t>
  </si>
  <si>
    <t>t</t>
  </si>
  <si>
    <t>167151101</t>
  </si>
  <si>
    <t>Nakládání výkopku z hornin třídy těžitelnosti I skupiny 1 až 3 do 100 m3</t>
  </si>
  <si>
    <t>171151111</t>
  </si>
  <si>
    <t>Uložení sypaniny z hornin nesoudržných sypkých do násypů zhutněných strojně</t>
  </si>
  <si>
    <t>171152501</t>
  </si>
  <si>
    <t>Zhutnění podloží z hornin soudržných nebo nesoudržných pod násypy</t>
  </si>
  <si>
    <t>112</t>
  </si>
  <si>
    <t>181951112</t>
  </si>
  <si>
    <t>Úprava pláně v hornině třídy těžitelnosti I skupiny 1 až 3 se zhutněním strojně</t>
  </si>
  <si>
    <t>Komunikace pozemní</t>
  </si>
  <si>
    <t>564861111</t>
  </si>
  <si>
    <t>Podklad ze štěrkodrtě ŠD plochy přes 100 m2 tl 200 mm</t>
  </si>
  <si>
    <t>564952111</t>
  </si>
  <si>
    <t>Podklad z mechanicky zpevněného kameniva MZK tl 150 mm</t>
  </si>
  <si>
    <t>565165111</t>
  </si>
  <si>
    <t>Asfaltový beton vrstva podkladní ACP 16 (obalované kamenivo OKS) tl 80 mm š do 3 m</t>
  </si>
  <si>
    <t>573111112</t>
  </si>
  <si>
    <t>Postřik živičný infiltrační s posypem z asfaltu množství 1 kg/m2</t>
  </si>
  <si>
    <t>573231112</t>
  </si>
  <si>
    <t>Postřik živičný spojovací ze silniční emulze v množství 0,80 kg/m2</t>
  </si>
  <si>
    <t>577134121</t>
  </si>
  <si>
    <t>Asfaltový beton vrstva obrusná ACO 11+ (ABS) tř. I tl 40 mm š přes 3 m z nemodifikovaného asfaltu</t>
  </si>
  <si>
    <t>Ostatní konstrukce a práce, bourání</t>
  </si>
  <si>
    <t>919121233</t>
  </si>
  <si>
    <t>Těsnění spár zálivkou za studena pro komůrky š 20 mm hl 40 mm bez těsnicího profilu</t>
  </si>
  <si>
    <t>919735112</t>
  </si>
  <si>
    <t>Řezání stávajícího živičného krytu hl přes 50 do 100 mm</t>
  </si>
  <si>
    <t>997</t>
  </si>
  <si>
    <t>Přesun sutě</t>
  </si>
  <si>
    <t>997221561</t>
  </si>
  <si>
    <t>Vodorovná doprava suti z kusových materiálů do 1 km</t>
  </si>
  <si>
    <t>997221569</t>
  </si>
  <si>
    <t>Příplatek ZKD 1 km u vodorovné dopravy suti z kusových materiálů</t>
  </si>
  <si>
    <t>997902(R)</t>
  </si>
  <si>
    <t xml:space="preserve">poplatek za skládku - živice </t>
  </si>
  <si>
    <t>998</t>
  </si>
  <si>
    <t>Přesun hmot</t>
  </si>
  <si>
    <t>998223011</t>
  </si>
  <si>
    <t>Přesun hmot pro pozemní komunikace s krytem dlážděným</t>
  </si>
  <si>
    <t>KOI01 - Výdaje přímé - hlavní aktivita</t>
  </si>
  <si>
    <t>KOI019 - SO 801 Sadové úpravy</t>
  </si>
  <si>
    <t>01</t>
  </si>
  <si>
    <t>KÁCENÍ STROMŮ A KLUČENÍ KEŘŮ</t>
  </si>
  <si>
    <t>111212351</t>
  </si>
  <si>
    <t>Odstranění nevhodných dřevin do 100 m2 v přes 1 m s odstraněním pařezů v rovině nebo svahu do 1:5</t>
  </si>
  <si>
    <t>50</t>
  </si>
  <si>
    <t>112151351</t>
  </si>
  <si>
    <t>Kácení stromu s postupným spouštěním koruny a kmene D přes 0,1 do 0,2 m</t>
  </si>
  <si>
    <t>kus</t>
  </si>
  <si>
    <t>112151352</t>
  </si>
  <si>
    <t>Kácení stromu s postupným spouštěním koruny a kmene D přes 0,2 do 0,3 m</t>
  </si>
  <si>
    <t>112151354</t>
  </si>
  <si>
    <t>Kácení stromu s postupným spouštěním koruny a kmene D přes 0,4 do 0,5 m</t>
  </si>
  <si>
    <t>112151356</t>
  </si>
  <si>
    <t>Kácení stromu s postupným spouštěním koruny a kmene D přes 0,6 do 0,7 m</t>
  </si>
  <si>
    <t>112251101</t>
  </si>
  <si>
    <t>Odstranění pařezů průměru přes 100 do 300 mm</t>
  </si>
  <si>
    <t>112251102</t>
  </si>
  <si>
    <t>Odstranění pařezů průměru přes 300 do 500 mm</t>
  </si>
  <si>
    <t>112251103</t>
  </si>
  <si>
    <t>Odstranění pařezů průměru přes 500 do 700 mm</t>
  </si>
  <si>
    <t>02</t>
  </si>
  <si>
    <t>PŘESADBA STROMŮ A KEŘŮ</t>
  </si>
  <si>
    <t>181351007</t>
  </si>
  <si>
    <t>Rozprostření ornice tl vrstvy přes 400 do 500 mm pl do 100 m2 v rovině nebo ve svahu do 1:5 strojně</t>
  </si>
  <si>
    <t>M86</t>
  </si>
  <si>
    <t xml:space="preserve">Ornice </t>
  </si>
  <si>
    <t>183101215</t>
  </si>
  <si>
    <t>Jamky pro výsadbu s výměnou 50 % půdy zeminy tř 1 až 4 obj přes 0,125 do 0,4 m3 v rovině a svahu do 1:5</t>
  </si>
  <si>
    <t>183101221</t>
  </si>
  <si>
    <t>Jamky pro výsadbu s výměnou 50 % půdy zeminy tř 1 až 4 obj přes 0,4 do 1 m3 v rovině a svahu do 1:5</t>
  </si>
  <si>
    <t>184102114</t>
  </si>
  <si>
    <t>Výsadba dřeviny s balem D přes 0,4 do 0,5 m do jamky se zalitím v rovině a svahu do 1:5</t>
  </si>
  <si>
    <t>184102311</t>
  </si>
  <si>
    <t>Výsadba keře bez balu v do 2 m do jamky se zalitím v rovině a svahu do 1:5</t>
  </si>
  <si>
    <t>10321100</t>
  </si>
  <si>
    <t>zahradní substrát pro výsadbu VL</t>
  </si>
  <si>
    <t>184215133</t>
  </si>
  <si>
    <t>Ukotvení kmene dřevin třemi kůly D do 0,1 m dl přes 2 do 3 m</t>
  </si>
  <si>
    <t>62</t>
  </si>
  <si>
    <t>Kůl dřevěný, impregnovaný, prům. 10 cm, délka 2,5m</t>
  </si>
  <si>
    <t>61</t>
  </si>
  <si>
    <t>Příčky</t>
  </si>
  <si>
    <t>60</t>
  </si>
  <si>
    <t>Popruh</t>
  </si>
  <si>
    <t>184215412</t>
  </si>
  <si>
    <t>Zhotovení závlahové mísy dřevin D přes 0,5 do 1,0 m v rovině nebo na svahu do 1:5</t>
  </si>
  <si>
    <t>184502112</t>
  </si>
  <si>
    <t>Vyzvednutí dřeviny k přesazení s balem D přes 0,4 do 0,5 m v rovině a svahu do 1:5</t>
  </si>
  <si>
    <t>184512111</t>
  </si>
  <si>
    <t>Vyzvednutí křovin k přesazení bez balu v rovině a svahu do 1:5</t>
  </si>
  <si>
    <t>184806111</t>
  </si>
  <si>
    <t>Řez stromů netrnitých průklestem D koruny do 2 m</t>
  </si>
  <si>
    <t>184806172</t>
  </si>
  <si>
    <t>Řez keřů netrnitých zmlazením D koruny přes 1,5 do 3 m</t>
  </si>
  <si>
    <t>184813134</t>
  </si>
  <si>
    <t>Ochrana listnatých dřevin přes 70 cm před okusem chemickým nátěrem v rovině a svahu do 1:5</t>
  </si>
  <si>
    <t>M07.3</t>
  </si>
  <si>
    <t xml:space="preserve">Ochranný nátěr </t>
  </si>
  <si>
    <t>kg</t>
  </si>
  <si>
    <t>184911421</t>
  </si>
  <si>
    <t>Mulčování rostlin kůrou tl do 0,1 m v rovině a svahu do 1:5</t>
  </si>
  <si>
    <t>571571</t>
  </si>
  <si>
    <t>Mulčovací kůra</t>
  </si>
  <si>
    <t>185802114</t>
  </si>
  <si>
    <t>Hnojení půdy umělým hnojivem k jednotlivým rostlinám v rovině a svahu do 1:5</t>
  </si>
  <si>
    <t>017</t>
  </si>
  <si>
    <t>Hnojivé tablety á 10g (10 tbl/strom, 4 tbl/keř, 1 tbl/trvalka)</t>
  </si>
  <si>
    <t>M90</t>
  </si>
  <si>
    <t xml:space="preserve">Půdní kondicionér na bázi silikátových koloidů </t>
  </si>
  <si>
    <t>185804311</t>
  </si>
  <si>
    <t>Zalití rostlin vodou plocha do 20 m2</t>
  </si>
  <si>
    <t>185851121</t>
  </si>
  <si>
    <t>Dovoz vody pro zálivku rostlin za vzdálenost do 1000 m</t>
  </si>
  <si>
    <t>4255</t>
  </si>
  <si>
    <t>Voda zálivková</t>
  </si>
  <si>
    <t>03</t>
  </si>
  <si>
    <t>PĚSTEBNÍ OPATŘENÍ DŘEVIN</t>
  </si>
  <si>
    <t>184818313</t>
  </si>
  <si>
    <t>Instalace dynamické vazby pro zajištění koruny stromu přes 3 lana</t>
  </si>
  <si>
    <t>67543204</t>
  </si>
  <si>
    <t>vazba stromu bezpečnostní dynamická nosnost lana 4t</t>
  </si>
  <si>
    <t>sada</t>
  </si>
  <si>
    <t>184852233</t>
  </si>
  <si>
    <t>Řez stromu zdravotní o ploše koruny do 30 m2 lezeckou technikou</t>
  </si>
  <si>
    <t>184852236</t>
  </si>
  <si>
    <t>Řez stromu zdravotní o ploše koruny přes 90 do 120 m2 lezeckou technikou</t>
  </si>
  <si>
    <t>39</t>
  </si>
  <si>
    <t>184852238</t>
  </si>
  <si>
    <t>Řez stromu zdravotní o ploše koruny přes 150 do 180 m2 lezeckou technikou</t>
  </si>
  <si>
    <t>40</t>
  </si>
  <si>
    <t>184852241</t>
  </si>
  <si>
    <t>Řez stromu zdravotní o ploše koruny přes 210 do 240 m2 lezeckou technikou</t>
  </si>
  <si>
    <t>04</t>
  </si>
  <si>
    <t>OCHRANA DŘEVIN PŘI STAVEBNÍ ČINNOSTI</t>
  </si>
  <si>
    <t>41</t>
  </si>
  <si>
    <t>184813212</t>
  </si>
  <si>
    <t>Ochranné oplocení kořenové zóny stromu v rovině nebo na svahu do 1:5, výšky do 2000 mm</t>
  </si>
  <si>
    <t>42</t>
  </si>
  <si>
    <t>184813252</t>
  </si>
  <si>
    <t>Odstranění ochranného oplocení kořenové zóny stromu v rovině nebo na svahu do 1:5, výšky do 2000 mm</t>
  </si>
  <si>
    <t>05</t>
  </si>
  <si>
    <t>VÝSADBA NOVÝCH DŘEVIN</t>
  </si>
  <si>
    <t>43</t>
  </si>
  <si>
    <t>44</t>
  </si>
  <si>
    <t>183101222</t>
  </si>
  <si>
    <t>Jamky pro výsadbu s výměnou 50 % půdy zeminy tř 1 až 4 obj přes 1 do 2 m3 v rovině a svahu do 1:5</t>
  </si>
  <si>
    <t>45</t>
  </si>
  <si>
    <t>184102115</t>
  </si>
  <si>
    <t>Výsadba dřeviny s balem D přes 0,5 do 0,6 m do jamky se zalitím v rovině a svahu do 1:5</t>
  </si>
  <si>
    <t>46</t>
  </si>
  <si>
    <t>47</t>
  </si>
  <si>
    <t>184102116</t>
  </si>
  <si>
    <t>Výsadba dřeviny s balem D přes 0,6 do 0,8 m do jamky se zalitím v rovině a svahu do 1:5</t>
  </si>
  <si>
    <t>48</t>
  </si>
  <si>
    <t>184215113</t>
  </si>
  <si>
    <t>Ukotvení kmene dřevin jedním kůlem D do 0,1 m dl přes 2 do 3 m</t>
  </si>
  <si>
    <t>49</t>
  </si>
  <si>
    <t>51</t>
  </si>
  <si>
    <t>52</t>
  </si>
  <si>
    <t>53</t>
  </si>
  <si>
    <t>54</t>
  </si>
  <si>
    <t>55</t>
  </si>
  <si>
    <t>56</t>
  </si>
  <si>
    <t>57</t>
  </si>
  <si>
    <t>184813134.1</t>
  </si>
  <si>
    <t>58</t>
  </si>
  <si>
    <t>59</t>
  </si>
  <si>
    <t>63</t>
  </si>
  <si>
    <t>65</t>
  </si>
  <si>
    <t>4255.1</t>
  </si>
  <si>
    <t>66</t>
  </si>
  <si>
    <t>M80</t>
  </si>
  <si>
    <t>Prunus avium ´Plena´, ZB, vk, vel. 14-16, ok</t>
  </si>
  <si>
    <t>67</t>
  </si>
  <si>
    <t>M81</t>
  </si>
  <si>
    <t>Platanus x hispanica, ZB, vk, vel. 14-16, ok</t>
  </si>
  <si>
    <t>68</t>
  </si>
  <si>
    <t>M83</t>
  </si>
  <si>
    <t>Tilia cordata, ZB, vk, vel. 14-16, ok</t>
  </si>
  <si>
    <t>69</t>
  </si>
  <si>
    <t>M84</t>
  </si>
  <si>
    <t>Abies nordmanniana, ZB, vel. 250-300 cm</t>
  </si>
  <si>
    <t>06</t>
  </si>
  <si>
    <t>ZÁHONOVÉ VÝSADBY KEŘŮ</t>
  </si>
  <si>
    <t>70</t>
  </si>
  <si>
    <t>111301111</t>
  </si>
  <si>
    <t>Sejmutí drnu tl do 100 mm s přemístěním do 50 m nebo naložením na dopravní prostředek</t>
  </si>
  <si>
    <t>71</t>
  </si>
  <si>
    <t>181114711</t>
  </si>
  <si>
    <t>Odstranění kamene sebráním a naložením na dopravní prostředek hmotnosti jednotlivě do 15 kg</t>
  </si>
  <si>
    <t>72</t>
  </si>
  <si>
    <t>M03.1</t>
  </si>
  <si>
    <t>Písek betonářský fr.0-4, tl. 50 mm</t>
  </si>
  <si>
    <t>73</t>
  </si>
  <si>
    <t>M07.1</t>
  </si>
  <si>
    <t>Kompost tl. 50 mm</t>
  </si>
  <si>
    <t>74</t>
  </si>
  <si>
    <t>183111113</t>
  </si>
  <si>
    <t>Hloubení jamek bez výměny půdy zeminy tř 1 až 4 obj přes 0,005 do 0,01 m3 v rovině a svahu do 1:5</t>
  </si>
  <si>
    <t>75</t>
  </si>
  <si>
    <t>183403113</t>
  </si>
  <si>
    <t>Obdělání půdy frézováním v rovině a svahu do 1:5</t>
  </si>
  <si>
    <t>76</t>
  </si>
  <si>
    <t>183403153</t>
  </si>
  <si>
    <t>Obdělání půdy hrabáním v rovině nebo na svahu do 1:5</t>
  </si>
  <si>
    <t>77</t>
  </si>
  <si>
    <t>78</t>
  </si>
  <si>
    <t>184102211</t>
  </si>
  <si>
    <t>Výsadba keře bez balu v do 1 m do jamky se zalitím v rovině a svahu do 1:5</t>
  </si>
  <si>
    <t>79</t>
  </si>
  <si>
    <t>184813521</t>
  </si>
  <si>
    <t>Chemické odplevelení po založení kultury postřikem na široko v rovině a svahu do 1:5 ručně</t>
  </si>
  <si>
    <t>80</t>
  </si>
  <si>
    <t>184851412</t>
  </si>
  <si>
    <t>Zpětný řez netrnitých keřů po výsadbě v přes 0,5 do 1 m</t>
  </si>
  <si>
    <t>81</t>
  </si>
  <si>
    <t>M85</t>
  </si>
  <si>
    <t>Hydrangea paniculata ´Limelight´, vel. 40/60</t>
  </si>
  <si>
    <t>82</t>
  </si>
  <si>
    <t>M87</t>
  </si>
  <si>
    <t>Spiraea thunbergii, vel. 40/60</t>
  </si>
  <si>
    <t>83</t>
  </si>
  <si>
    <t>84</t>
  </si>
  <si>
    <t>85</t>
  </si>
  <si>
    <t>86</t>
  </si>
  <si>
    <t>87</t>
  </si>
  <si>
    <t>88</t>
  </si>
  <si>
    <t>89</t>
  </si>
  <si>
    <t>07</t>
  </si>
  <si>
    <t>ZALOŽENÍ TRÁVNÍKU - VÝSEV</t>
  </si>
  <si>
    <t>90</t>
  </si>
  <si>
    <t>91</t>
  </si>
  <si>
    <t>181311103.3</t>
  </si>
  <si>
    <t>Rozprostření písku tl vrstvy do 200 mm v rovině nebo ve svahu do 1:5 ručně</t>
  </si>
  <si>
    <t>92</t>
  </si>
  <si>
    <t>M10.1</t>
  </si>
  <si>
    <t>Písek betonářský fr.0-4 , tl. 20 mm</t>
  </si>
  <si>
    <t>93</t>
  </si>
  <si>
    <t>181411131</t>
  </si>
  <si>
    <t>Založení parkového trávníku výsevem pl do 1000 m2 v rovině a ve svahu do 1:5</t>
  </si>
  <si>
    <t>94</t>
  </si>
  <si>
    <t>M20.1</t>
  </si>
  <si>
    <t xml:space="preserve">Travní osio UNI rekreační směs 30g/m2 </t>
  </si>
  <si>
    <t>95</t>
  </si>
  <si>
    <t>96</t>
  </si>
  <si>
    <t>97</t>
  </si>
  <si>
    <t>98</t>
  </si>
  <si>
    <t>99</t>
  </si>
  <si>
    <t>100</t>
  </si>
  <si>
    <t>183403161</t>
  </si>
  <si>
    <t>Obdělání půdy válením v rovině a svahu do 1:5</t>
  </si>
  <si>
    <t>101</t>
  </si>
  <si>
    <t>102</t>
  </si>
  <si>
    <t>185802113</t>
  </si>
  <si>
    <t>Hnojení půdy umělým hnojivem na široko v rovině a svahu do 1:5</t>
  </si>
  <si>
    <t>103</t>
  </si>
  <si>
    <t>M19</t>
  </si>
  <si>
    <t>Hnojivo trávníkové typu Starter 20g/m2</t>
  </si>
  <si>
    <t>08</t>
  </si>
  <si>
    <t>ZALOŽENÍ TRÁVNÍKU - PŘÍSEV</t>
  </si>
  <si>
    <t>104</t>
  </si>
  <si>
    <t>105</t>
  </si>
  <si>
    <t>106</t>
  </si>
  <si>
    <t>183451431</t>
  </si>
  <si>
    <t>Prořezání trávníku s přísevem plochy do 1000 m2 v rovině nebo na svahu do 1:5</t>
  </si>
  <si>
    <t>107</t>
  </si>
  <si>
    <t>108</t>
  </si>
  <si>
    <t>183451511</t>
  </si>
  <si>
    <t>Zapískování travnatých ploch vrstvou tl. do 20 mm v rovině nebo na svahu do 1:5 plochy do 1000 m2</t>
  </si>
  <si>
    <t>109</t>
  </si>
  <si>
    <t>M06-1</t>
  </si>
  <si>
    <t>110</t>
  </si>
  <si>
    <t>111</t>
  </si>
  <si>
    <t>M08</t>
  </si>
  <si>
    <t>185803111</t>
  </si>
  <si>
    <t>Ošetření trávníku posečením v rovině a svahu do 1:5</t>
  </si>
  <si>
    <t>113</t>
  </si>
  <si>
    <t>185808521</t>
  </si>
  <si>
    <t>Vyvláčení trávníku s naložením a odvozem odpadu do 20 km v rovině a svahu do 1:5</t>
  </si>
  <si>
    <t>09</t>
  </si>
  <si>
    <t>USAZENÍ ZÁHONOVÝCH OBRUB</t>
  </si>
  <si>
    <t>114</t>
  </si>
  <si>
    <t>P131</t>
  </si>
  <si>
    <t>Položení kovového obrubníku</t>
  </si>
  <si>
    <t>bm</t>
  </si>
  <si>
    <t>115</t>
  </si>
  <si>
    <t>M131</t>
  </si>
  <si>
    <t>Kovový obrubník v. 200 mm (s klíny)</t>
  </si>
  <si>
    <t>ZALOŽENÍ TRVALKOVÝCH ZÁHONŮ (TRVALKOVÁ SMĚS)</t>
  </si>
  <si>
    <t>116</t>
  </si>
  <si>
    <t>117</t>
  </si>
  <si>
    <t>118</t>
  </si>
  <si>
    <t>119</t>
  </si>
  <si>
    <t>120</t>
  </si>
  <si>
    <t>183111112</t>
  </si>
  <si>
    <t>Hloubení jamek bez výměny půdy zeminy tř 1 až 4 obj přes 0,002 do 0,005 m3 v rovině a svahu do 1:5</t>
  </si>
  <si>
    <t>121</t>
  </si>
  <si>
    <t>183211313</t>
  </si>
  <si>
    <t>Výsadba cibulí nebo hlíz</t>
  </si>
  <si>
    <t>122</t>
  </si>
  <si>
    <t>183211322</t>
  </si>
  <si>
    <t>Výsadba květin krytokořenných průměru kontejneru přes 80 do 120 mm</t>
  </si>
  <si>
    <t>123</t>
  </si>
  <si>
    <t>124</t>
  </si>
  <si>
    <t>125</t>
  </si>
  <si>
    <t>126</t>
  </si>
  <si>
    <t>184911161</t>
  </si>
  <si>
    <t>Mulčování záhonů kačírkem tl vrstvy přes 0,05 do 0,1 m v rovině a svahu do 1:5</t>
  </si>
  <si>
    <t>127</t>
  </si>
  <si>
    <t>58333651</t>
  </si>
  <si>
    <t>Kamenivo těžené hrubé frakce 8/16</t>
  </si>
  <si>
    <t>128</t>
  </si>
  <si>
    <t>129</t>
  </si>
  <si>
    <t>130</t>
  </si>
  <si>
    <t>185804312</t>
  </si>
  <si>
    <t>Zalití rostlin vodou plocha přes 20 m2</t>
  </si>
  <si>
    <t>131</t>
  </si>
  <si>
    <t>132</t>
  </si>
  <si>
    <t>4255.2</t>
  </si>
  <si>
    <t>133</t>
  </si>
  <si>
    <t>M88</t>
  </si>
  <si>
    <t>Trvalky v kontejnerech</t>
  </si>
  <si>
    <t>134</t>
  </si>
  <si>
    <t>M89</t>
  </si>
  <si>
    <t xml:space="preserve">Cibuloviny </t>
  </si>
  <si>
    <t>135</t>
  </si>
  <si>
    <t>998231311</t>
  </si>
  <si>
    <t>Přesun hmot pro sadovnické a krajinářské úpravy vodorovně do 5000 m</t>
  </si>
  <si>
    <t>136</t>
  </si>
  <si>
    <t>998231411</t>
  </si>
  <si>
    <t>Ruční přesun hmot pro sadovnické a krajinářské úpravy do 100 m</t>
  </si>
  <si>
    <t>137</t>
  </si>
  <si>
    <t>P01</t>
  </si>
  <si>
    <t xml:space="preserve">Skládkovné - zemina a kamenivo </t>
  </si>
  <si>
    <t>138</t>
  </si>
  <si>
    <t>P02</t>
  </si>
  <si>
    <t xml:space="preserve">Skládkovné rostlinných pletiv </t>
  </si>
  <si>
    <t>Elektromontáž, řízení, osvětlení</t>
  </si>
  <si>
    <t>Podružný elektrorozvaděč technologie RM1 v provedení jako sestava plastových rozvodnic na omítku, krytí IP55</t>
  </si>
  <si>
    <t>Drobný elektroinstalační materiál</t>
  </si>
  <si>
    <t>kompl.</t>
  </si>
  <si>
    <t>Elektroinstalační práce</t>
  </si>
  <si>
    <t>Revizní zpráva</t>
  </si>
  <si>
    <t>Spínaný zdroj 24VDC, 150W</t>
  </si>
  <si>
    <t>Kabeláž ke světlům CYKY-J 3x1,5</t>
  </si>
  <si>
    <t>Kabelová chránička D40</t>
  </si>
  <si>
    <t>Nerezový přisazený LED reflektor 9x3W, 12VAC(24VDC), IP68, jednobarevné- teplá bílá</t>
  </si>
  <si>
    <t>Nerezová kabelová průchodka dvouvývodová, G1"</t>
  </si>
  <si>
    <t>GSM Brána dle specifikace v TZ vč.napojení na rozvaděč, nerezové sondy zatopení</t>
  </si>
  <si>
    <t>Nucené odvětrání strojovny odtahovým ventilátorem</t>
  </si>
  <si>
    <t>Stropní svítidlo strojovny 100W s krycím sklem, IP44, 230V</t>
  </si>
  <si>
    <t>Montáž čerpadel, kompresorů</t>
  </si>
  <si>
    <t>Montáž technologie</t>
  </si>
  <si>
    <t>Tlakové zkoušky</t>
  </si>
  <si>
    <t>hod.</t>
  </si>
  <si>
    <t>Kompletace, uvedení do provozu</t>
  </si>
  <si>
    <t>Zaškolení obsluhy</t>
  </si>
  <si>
    <t>Ostatní dodávky a práce "M"</t>
  </si>
  <si>
    <t>Pol17</t>
  </si>
  <si>
    <t>Návod na obsluhu a údržbu</t>
  </si>
  <si>
    <t>Vedlejší náklady</t>
  </si>
  <si>
    <t>PD ve stupni realizační, Dílenská dokumentace</t>
  </si>
  <si>
    <t>Autorský dozor</t>
  </si>
  <si>
    <t>Doprava</t>
  </si>
  <si>
    <t>Kompozitní poklop 600x600mm, třída zatížení B125, vč. těsnění a uzamykání</t>
  </si>
  <si>
    <t>Mosazná napěněná tryska typu Kaskáda, připojení G1", ∅ ústí 50mm</t>
  </si>
  <si>
    <t>PP jednoplášťová strojovna technologie, vnitřní rozměry 3,0x2,0x1,5m, integrovaná retenční nádrž 2,0x1,0x1,5mm, 2x vstupní otvor 600x600mm, vč. těsněných prostupů, žebříků a čerpací jímky, bez poklopu</t>
  </si>
  <si>
    <t>PP zachycovač nečistot s nerezovým sítem</t>
  </si>
  <si>
    <t>PP podstavec čerpadla</t>
  </si>
  <si>
    <t>PP šachtička odvětrání s nerezovou krycí mřížkou</t>
  </si>
  <si>
    <t xml:space="preserve">Nerezová mísa vodního prvku- ∅2000mm, výška mísy 500mm, tloušťka stěny 6mm,  nosný podstavec   ∅304mm výšky 200mm, prostup trysky G1", prostup vypouštění G2,5", kabelový prostup G1" s nerezovou   kabelovou průchodkou, přelivná hrana vyrovnaná s přesností </t>
  </si>
  <si>
    <t>Nerezový odtokový kruhový žlab- šířka 150mm, výška 150mm, vnitřní průměr 305mm, nerezová krycí   pochozí mřížka, 2x gravitační odtok DN100, vč. Kotvení</t>
  </si>
  <si>
    <t>Plastové čerpadlo přelivu s integrovaným zachycovačem nečistot připojení DN50/DN40, výkon 1,00 kW; Q=23m³/h při 6 mvs, 230V</t>
  </si>
  <si>
    <t>Odstředivé plastové čerpadlo filtrace s integrovaným zachycovačem nečistot, připojení DN50/DN40, výkon 0,45 kW; Q=12m³/h při 8 mvs, 230V</t>
  </si>
  <si>
    <t>Pískový plastový filtr s bočním připojením 11/2", vnitřní průměr D500, průtok 9m³/h</t>
  </si>
  <si>
    <t>Filtrační písek 0,6-1 mm</t>
  </si>
  <si>
    <t>Pol34</t>
  </si>
  <si>
    <t>Automatický ovládací 6-ti cestný ventil s bočním připojením na filtr, připojení 11/2"</t>
  </si>
  <si>
    <t>Pol35</t>
  </si>
  <si>
    <t>Poloautomatický dávkovač pomalorozpustných chlórových tablet, připojení G6/4"</t>
  </si>
  <si>
    <t>Pol36</t>
  </si>
  <si>
    <t>Ponorné kalové čerpadlo, nerezové, výkon 0,25kW, Q=6m3/h při 3,7mvs, 230V</t>
  </si>
  <si>
    <t>Pol37</t>
  </si>
  <si>
    <t>Jednoduchý kabinetní změkčovací filtr s objemovým řízením s kapacitou 120°dHxm³</t>
  </si>
  <si>
    <t>Pol38</t>
  </si>
  <si>
    <t>Sestava dopouštění včetně By-passu - 1" a nerezových ponorných sond</t>
  </si>
  <si>
    <t>Pol39</t>
  </si>
  <si>
    <t>Elektromagnetický ventil 1", 230V</t>
  </si>
  <si>
    <t>Pol40</t>
  </si>
  <si>
    <t>Kartušový filtr G 1 včetně filtrační vložky 50 mic</t>
  </si>
  <si>
    <t>Pol41</t>
  </si>
  <si>
    <t>Tr PVC D110,dl.6m,PN 10</t>
  </si>
  <si>
    <t>Pol42</t>
  </si>
  <si>
    <t>Tr PVC D 90,dl.6m, PN 10</t>
  </si>
  <si>
    <t>Pol43</t>
  </si>
  <si>
    <t>Tr PVC D 75,dl.6m, PN 10</t>
  </si>
  <si>
    <t>Pol44</t>
  </si>
  <si>
    <t>Tr PVC D 63,dl.5m, PN 10</t>
  </si>
  <si>
    <t>Pol45</t>
  </si>
  <si>
    <t>Tr PVC D 50,dl.5m, PN 10</t>
  </si>
  <si>
    <t>Pol46</t>
  </si>
  <si>
    <t>Tr PVC D 32,dl.5m,PN 10</t>
  </si>
  <si>
    <t>Pol47</t>
  </si>
  <si>
    <t>Tr PVC D140,dl.6m,PN 10</t>
  </si>
  <si>
    <t>Pol48</t>
  </si>
  <si>
    <t>Kohout kulový D 90 PVC</t>
  </si>
  <si>
    <t>Pol49</t>
  </si>
  <si>
    <t>Kohout kulový D 75 PVC</t>
  </si>
  <si>
    <t>Pol50</t>
  </si>
  <si>
    <t>Kohout kulový D 63 PVC</t>
  </si>
  <si>
    <t>Pol51</t>
  </si>
  <si>
    <t>Kohout kulový D 50 PVC</t>
  </si>
  <si>
    <t>Pol52</t>
  </si>
  <si>
    <t>Ventil zpětný D 75 PVC</t>
  </si>
  <si>
    <t>Pol53</t>
  </si>
  <si>
    <t>Ventil zpětný D 50 PVC</t>
  </si>
  <si>
    <t>Pol54</t>
  </si>
  <si>
    <t>Koleno D 90 PVC 90° lep</t>
  </si>
  <si>
    <t>Pol55</t>
  </si>
  <si>
    <t>Koleno D 90 PVC 45° lep</t>
  </si>
  <si>
    <t>Pol56</t>
  </si>
  <si>
    <t>Koleno D 75 PVC 90° lep</t>
  </si>
  <si>
    <t>Pol57</t>
  </si>
  <si>
    <t>Koleno D 75 PVC 45° lep</t>
  </si>
  <si>
    <t>Pol58</t>
  </si>
  <si>
    <t>Koleno D 50/90° PVC PN16</t>
  </si>
  <si>
    <t>Pol59</t>
  </si>
  <si>
    <t>Koleno D 50/45° PN 16, PVC</t>
  </si>
  <si>
    <t>Pol60</t>
  </si>
  <si>
    <t>T-kus D 90 PVC lepení</t>
  </si>
  <si>
    <t>Pol61</t>
  </si>
  <si>
    <t>T-kus D140 PVC lepení</t>
  </si>
  <si>
    <t>Pol62</t>
  </si>
  <si>
    <t>T-kus D 50/90° lep.PVC</t>
  </si>
  <si>
    <t>Pol63</t>
  </si>
  <si>
    <t>Šroubení D 63x2"ext.PVC</t>
  </si>
  <si>
    <t>Pol64</t>
  </si>
  <si>
    <t>Šroubení D 50x6/4"ex.těsn</t>
  </si>
  <si>
    <t>Pol65</t>
  </si>
  <si>
    <t>Nátrubek D 32x1"int.kov</t>
  </si>
  <si>
    <t>Pol66</t>
  </si>
  <si>
    <t>Nátrubek D 75x21/2"int.</t>
  </si>
  <si>
    <t>Pol67</t>
  </si>
  <si>
    <t>Redukce kr.D140x110 PVC</t>
  </si>
  <si>
    <t>Pol68</t>
  </si>
  <si>
    <t>Redukce kr.D110x63 PVC</t>
  </si>
  <si>
    <t>Pol69</t>
  </si>
  <si>
    <t>Redukce kr.D 90x75 PVC</t>
  </si>
  <si>
    <t>Pol70</t>
  </si>
  <si>
    <t>Redukce kr.50x32 PVC</t>
  </si>
  <si>
    <t>Pol71</t>
  </si>
  <si>
    <t>Redukce kr.D110x75 PVC</t>
  </si>
  <si>
    <t>Pol72</t>
  </si>
  <si>
    <t>Klapka uzavírací D110 PVC</t>
  </si>
  <si>
    <t>Pol73</t>
  </si>
  <si>
    <t>Sada přírub D110 ke kla</t>
  </si>
  <si>
    <t>Pol74</t>
  </si>
  <si>
    <t>Kanalizační trubky SN4 DN 150 1m</t>
  </si>
  <si>
    <t>Pol75</t>
  </si>
  <si>
    <t>Kanalizační trubky SN4 DN 100 1m</t>
  </si>
  <si>
    <t>Pol76</t>
  </si>
  <si>
    <t>Trubka PP HT   DN 100 250m</t>
  </si>
  <si>
    <t>Pol77</t>
  </si>
  <si>
    <t>Trubka PP HT DN100 1000mm</t>
  </si>
  <si>
    <t>Pol78</t>
  </si>
  <si>
    <t>Koleno DN 150 87°</t>
  </si>
  <si>
    <t>Pol79</t>
  </si>
  <si>
    <t>Koleno DN 150 45°</t>
  </si>
  <si>
    <t>Pol80</t>
  </si>
  <si>
    <t>Koleno DN 100 87°</t>
  </si>
  <si>
    <t>Pol81</t>
  </si>
  <si>
    <t>Koleno DN 100 45°</t>
  </si>
  <si>
    <t>Pol82</t>
  </si>
  <si>
    <t>Jednoduchá odbočka 87° 30 DN 150 DN 100</t>
  </si>
  <si>
    <t>Pol83</t>
  </si>
  <si>
    <t>Redukce DN 150 DN 100</t>
  </si>
  <si>
    <t>Pol84</t>
  </si>
  <si>
    <t>Jednoduchá odbočka PP HT  87° DN 100 DN 100</t>
  </si>
  <si>
    <t>Pol85</t>
  </si>
  <si>
    <t>Jednoduchá odbočka PP HT  87° DN 100 DN 40</t>
  </si>
  <si>
    <t>Pol86</t>
  </si>
  <si>
    <t>Koleno PP HT DN 100 87°</t>
  </si>
  <si>
    <t>Pol87</t>
  </si>
  <si>
    <t>Čistič PVC</t>
  </si>
  <si>
    <t>litr</t>
  </si>
  <si>
    <t>Pol88</t>
  </si>
  <si>
    <t>Teflonová páska</t>
  </si>
  <si>
    <t>Pol89</t>
  </si>
  <si>
    <t>Lepidlo PVC-U</t>
  </si>
  <si>
    <t>Pol90</t>
  </si>
  <si>
    <t>Kotvící materiál, úchyty</t>
  </si>
  <si>
    <t>KOI017 - SO 701 Objekty pozemních staveb- podium</t>
  </si>
  <si>
    <t>131251100</t>
  </si>
  <si>
    <t>Hloubení jam nezapažených v hornině třídy těžitelnosti I skupiny 3 objem do 20 m3 strojně</t>
  </si>
  <si>
    <t xml:space="preserve">poplatek za skládku - zemina </t>
  </si>
  <si>
    <t>Vodorovné konstrukce</t>
  </si>
  <si>
    <t>461101113</t>
  </si>
  <si>
    <t>Osazení patky pro dlažbu prefabrikátů hmotnosti přes 200 do 500 kg</t>
  </si>
  <si>
    <t>593901(R)</t>
  </si>
  <si>
    <t>dodání betonového bílého bloku 400/500/2000mm vč. dopravy</t>
  </si>
  <si>
    <t>593902(R)</t>
  </si>
  <si>
    <t>dodání betonového bílého bloku 400/250/2000mm vč. dopravy</t>
  </si>
  <si>
    <t>564851011</t>
  </si>
  <si>
    <t>Podklad ze štěrkodrtě ŠD plochy do 100 m2 tl 150 mm</t>
  </si>
  <si>
    <t>564861011</t>
  </si>
  <si>
    <t>Podklad ze štěrkodrtě ŠD plochy do 100 m2 tl 200 mm</t>
  </si>
  <si>
    <t>596811220</t>
  </si>
  <si>
    <t>Kladení betonové dlažby komunikací pro pěší do lože z kameniva velikosti přes 0,09 do 0,25 m2 pl do 50 m2</t>
  </si>
  <si>
    <t>59245320</t>
  </si>
  <si>
    <t>dlažba plošná betonová 400x400x45mm přírodní</t>
  </si>
  <si>
    <t>KOI015 - SO 303 Retenční nádrže u sokolovny</t>
  </si>
  <si>
    <t>Zemní práce - přípravné a přidružené práce</t>
  </si>
  <si>
    <t>113106151</t>
  </si>
  <si>
    <t>Rozebrání dlažeb vozovek z velkých kostek s ložem z kameniva ručně</t>
  </si>
  <si>
    <t>113107522</t>
  </si>
  <si>
    <t>Odstranění podkladu z kameniva drceného tl přes 100 do 200 mm při překopech strojně pl přes 15 m2</t>
  </si>
  <si>
    <t>121151103</t>
  </si>
  <si>
    <t>Sejmutí ornice plochy do 100 m2 tl vrstvy do 200 mm strojně</t>
  </si>
  <si>
    <t>131251203</t>
  </si>
  <si>
    <t>Hloubení jam zapažených v hornině třídy těžitelnosti I skupiny 3 objem do 100 m3 strojně</t>
  </si>
  <si>
    <t>132251101</t>
  </si>
  <si>
    <t>Hloubení rýh nezapažených š do 800 mm v hornině třídy těžitelnosti I skupiny 3 objem do 20 m3 strojně</t>
  </si>
  <si>
    <t>132251253</t>
  </si>
  <si>
    <t>Hloubení rýh nezapažených š do 2000 mm v hornině třídy těžitelnosti I skupiny 3 objem do 100 m3 strojně</t>
  </si>
  <si>
    <t>151101101</t>
  </si>
  <si>
    <t>Zřízení příložného pažení a rozepření stěn rýh hl do 2 m</t>
  </si>
  <si>
    <t>151101102</t>
  </si>
  <si>
    <t>Zřízení příložného pažení a rozepření stěn rýh hl přes 2 do 4 m</t>
  </si>
  <si>
    <t>151101111</t>
  </si>
  <si>
    <t>Odstranění příložného pažení a rozepření stěn rýh hl do 2 m</t>
  </si>
  <si>
    <t>151101112</t>
  </si>
  <si>
    <t>Odstranění příložného pažení a rozepření stěn rýh hl přes 2 do 4 m</t>
  </si>
  <si>
    <t>162251101</t>
  </si>
  <si>
    <t>Vodorovné přemístění do 20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</si>
  <si>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</si>
  <si>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</si>
  <si>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171201231</t>
  </si>
  <si>
    <t>Poplatek za uložení zeminy a kamení na recyklační skládce (skládkovné) kód odpadu 17 05 04</t>
  </si>
  <si>
    <t>171251201</t>
  </si>
  <si>
    <t>Uložení sypaniny na skládky nebo meziskládky</t>
  </si>
  <si>
    <t>174251101</t>
  </si>
  <si>
    <t>Zásyp jam, šachet rýh nebo kolem objektů sypaninou bez zhutnění</t>
  </si>
  <si>
    <t>58344197</t>
  </si>
  <si>
    <t>štěrkodrť frakce 0/63</t>
  </si>
  <si>
    <t>175111101</t>
  </si>
  <si>
    <t>Obsypání potrubí ručně sypaninou bez prohození, uloženou do 3 m</t>
  </si>
  <si>
    <t>58331200</t>
  </si>
  <si>
    <t>štěrkopísek netříděný</t>
  </si>
  <si>
    <t>58337303</t>
  </si>
  <si>
    <t>štěrkopísek frakce 0/8</t>
  </si>
  <si>
    <t>58337302</t>
  </si>
  <si>
    <t>štěrkopísek frakce 0/16</t>
  </si>
  <si>
    <t>181351003</t>
  </si>
  <si>
    <t>Rozprostření ornice tl vrstvy do 200 mm pl do 100 m2 v rovině nebo ve svahu do 1:5 strojně</t>
  </si>
  <si>
    <t>00572470</t>
  </si>
  <si>
    <t>osivo směs travní univerzál</t>
  </si>
  <si>
    <t>Elektromontážní práce - silnoproud</t>
  </si>
  <si>
    <t>460671112</t>
  </si>
  <si>
    <t>Výstražná fólie pro krytí kabelů šířky 25 cm</t>
  </si>
  <si>
    <t>460671112.1</t>
  </si>
  <si>
    <t>Úprava a přestrojení rozvaděče</t>
  </si>
  <si>
    <t>460671112.2</t>
  </si>
  <si>
    <t>Řízení čerpadla</t>
  </si>
  <si>
    <t>998271201.1</t>
  </si>
  <si>
    <t>Montáž CYKY-J 3x1,5</t>
  </si>
  <si>
    <t>711021</t>
  </si>
  <si>
    <t>998271201.2</t>
  </si>
  <si>
    <t>Montáž chránička DN50</t>
  </si>
  <si>
    <t>34571352</t>
  </si>
  <si>
    <t>trubka elektroinstalační ohebná dvouplášťová korugovaná (chránička) D 52/63mm, HDPE+LDPE</t>
  </si>
  <si>
    <t xml:space="preserve">Podkladní a vedlejší konstrukce </t>
  </si>
  <si>
    <t>451573111</t>
  </si>
  <si>
    <t>Lože pod potrubí otevřený výkop ze štěrkopísku</t>
  </si>
  <si>
    <t>457531111</t>
  </si>
  <si>
    <t>Filtrační vrstvy z hrubého drceného kameniva bez zhutnění frakce od 4 až 8 do 22 až 32 mm</t>
  </si>
  <si>
    <t>Zpevněné plochy kromě vozovek a železničních svršků</t>
  </si>
  <si>
    <t>460000001</t>
  </si>
  <si>
    <t>Podklad ze štěrku, tl. 200 mm</t>
  </si>
  <si>
    <t>Potrubí z trub plastických, skleněných a čedičových</t>
  </si>
  <si>
    <t>871161141</t>
  </si>
  <si>
    <t>Montáž potrubí z PE100 SDR 11 otevřený výkop svařovaných na tupo D 32 x 3,0 mm</t>
  </si>
  <si>
    <t>28613170</t>
  </si>
  <si>
    <t>trubka vodovodní PE100 SDR11 se signalizační vrstvou 32x3,0mm</t>
  </si>
  <si>
    <t>871270310</t>
  </si>
  <si>
    <t>Montáž kanalizačního potrubí hladkého plnostěnného SN 10 z polypropylenu DN 125</t>
  </si>
  <si>
    <t>28617002</t>
  </si>
  <si>
    <t>trubka kanalizační PP plnostěnná třívrstvá DN 125x1000mm SN10</t>
  </si>
  <si>
    <t>871310310</t>
  </si>
  <si>
    <t>Montáž kanalizačního potrubí hladkého plnostěnného SN 10 z polypropylenu DN 150</t>
  </si>
  <si>
    <t>28617003</t>
  </si>
  <si>
    <t>trubka kanalizační PP plnostěnná třívrstvá DN 150x1000mm SN10</t>
  </si>
  <si>
    <t>Ostatní konstrukce a práce na trubním vedení</t>
  </si>
  <si>
    <t>877265210</t>
  </si>
  <si>
    <t>Montáž elektrokolen 45° na kanalizačním potrubí z PE trub d 110</t>
  </si>
  <si>
    <t>28614842.2</t>
  </si>
  <si>
    <t>Y - kus</t>
  </si>
  <si>
    <t>877275210</t>
  </si>
  <si>
    <t>Montáž elektrokolen 45° na kanalizačním potrubí z PE trub d 125</t>
  </si>
  <si>
    <t>28614842</t>
  </si>
  <si>
    <t>koleno 45° SDR11 PE 100 PN16 D 110mm</t>
  </si>
  <si>
    <t>28614842.1</t>
  </si>
  <si>
    <t>koleno 45°</t>
  </si>
  <si>
    <t>877275213</t>
  </si>
  <si>
    <t>Montáž elektro T-kusů na kanalizačním potrubí z PE trub d 125</t>
  </si>
  <si>
    <t>28614949</t>
  </si>
  <si>
    <t>elektrokoleno 45° PE 100 PN16 D 110mm</t>
  </si>
  <si>
    <t>891163222</t>
  </si>
  <si>
    <t>Montáž ventilů vodovodních odvzdušňovacích závitových DN 25</t>
  </si>
  <si>
    <t>42211001</t>
  </si>
  <si>
    <t>ventil odvzdušňovací/zavzdušňovací závitový PN 16, pitná voda DN 25</t>
  </si>
  <si>
    <t>892270000</t>
  </si>
  <si>
    <t>Zkouška průchodnosti potrubí</t>
  </si>
  <si>
    <t>892271111</t>
  </si>
  <si>
    <t>Tlaková zkouška vodou potrubí DN 100 nebo 125</t>
  </si>
  <si>
    <t>892273122</t>
  </si>
  <si>
    <t>Proplach a dezinfekce vodovodního potrubí DN od 80 do 125</t>
  </si>
  <si>
    <t>894414111</t>
  </si>
  <si>
    <t>Osazení betonových nebo železobetonových dílců pro šachty skruží základových (dno)</t>
  </si>
  <si>
    <t>894414111.1</t>
  </si>
  <si>
    <t>D+M čerpadlo, Ponorné čerpadlo 0,9kW H 12m, průtok 5700 l/h</t>
  </si>
  <si>
    <t>894414111.2</t>
  </si>
  <si>
    <t>Napojení na stávající kanalizaci</t>
  </si>
  <si>
    <t>899000003</t>
  </si>
  <si>
    <t>Zkouška funkčnosti signalizačního vodiče</t>
  </si>
  <si>
    <t>899721111</t>
  </si>
  <si>
    <t>Signalizační vodič DN do 150 mm na potrubí</t>
  </si>
  <si>
    <t>899722114</t>
  </si>
  <si>
    <t>Krytí potrubí z plastů výstražnou fólií z PVC 40 cm</t>
  </si>
  <si>
    <t>R89900001</t>
  </si>
  <si>
    <t>D+M retenční nádrž 9,5 m3, včetně dopravy a osazení</t>
  </si>
  <si>
    <t>R89900001.1</t>
  </si>
  <si>
    <t>D+M Šacha revizní - plastová s poklopem i dnem. PVC DN600</t>
  </si>
  <si>
    <t>R89900002</t>
  </si>
  <si>
    <t>D+M podzemní filtrační šachta DN500, včetně příslušenství</t>
  </si>
  <si>
    <t>998271201</t>
  </si>
  <si>
    <t>Přesun hmot pro kanalizace hloubené zděné otevřený výkop</t>
  </si>
  <si>
    <t>KOI014 - SO 302 Retenční nádrže</t>
  </si>
  <si>
    <t>131251202</t>
  </si>
  <si>
    <t>Hloubení jam zapažených v hornině třídy těžitelnosti I skupiny 3 objem do 50 m3 strojně</t>
  </si>
  <si>
    <t>132251103</t>
  </si>
  <si>
    <t>Hloubení rýh nezapažených š do 800 mm v hornině třídy těžitelnosti I skupiny 3 objem do 100 m3 strojně</t>
  </si>
  <si>
    <t>132251252</t>
  </si>
  <si>
    <t>Hloubení rýh nezapažených š do 2000 mm v hornině třídy těžitelnosti I skupiny 3 objem do 50 m3 strojně</t>
  </si>
  <si>
    <t>465921122</t>
  </si>
  <si>
    <t>Kladení dlažby z betonových desek tl přes 100 do 150 mm hmotnosti do 90 kg s vyplněním spár drnem</t>
  </si>
  <si>
    <t>871260310</t>
  </si>
  <si>
    <t>Montáž kanalizačního potrubí hladkého plnostěnného SN 10 z polypropylenu DN 100</t>
  </si>
  <si>
    <t>28617001</t>
  </si>
  <si>
    <t>trubka kanalizační PP plnostěnná třívrstvá DN 100x1000mm SN10</t>
  </si>
  <si>
    <t>877265210.1</t>
  </si>
  <si>
    <t>Montáž elektroredukcí na kanalizačním potrubí z PE</t>
  </si>
  <si>
    <t>redukce 100/120</t>
  </si>
  <si>
    <t>877265210.2</t>
  </si>
  <si>
    <t>Montáž Y - kus</t>
  </si>
  <si>
    <t>877265213</t>
  </si>
  <si>
    <t>Montáž elektro T-kusů na kanalizačním potrubí z PE trub d 110</t>
  </si>
  <si>
    <t>28614961</t>
  </si>
  <si>
    <t>elektrotvarovka T-kus rovnoramenný PE 100 PN16 D 110mm</t>
  </si>
  <si>
    <t>877325215</t>
  </si>
  <si>
    <t>Montáž elektro T-kusů redukovaných na kanalizačním potrubí z PE trub d 160/90</t>
  </si>
  <si>
    <t>28614949.1</t>
  </si>
  <si>
    <t>Dodávka elektro T-kusů na kanalizačním potrubí z PE trub d 120/100</t>
  </si>
  <si>
    <t>891151321</t>
  </si>
  <si>
    <t>Montáž vodovodních šoupátek domovní přípojky se závitovými konci PN16 otevřený výkop G 3/4"</t>
  </si>
  <si>
    <t>42221550</t>
  </si>
  <si>
    <t>šoupátko domovní přípojky litinové vnitřní/vnitřní závit PN16 3/4"x3/4"</t>
  </si>
  <si>
    <t>891185321</t>
  </si>
  <si>
    <t>Montáž zpětných klapek DN 40</t>
  </si>
  <si>
    <t>72283040</t>
  </si>
  <si>
    <t>zpětná klapka</t>
  </si>
  <si>
    <t>D+M retenční nádrž 6 m3, včetně dopravy a osazení</t>
  </si>
  <si>
    <t>D+M podzemní filtrační šachta, včetně příslušenství</t>
  </si>
  <si>
    <t>KOI013 - SO 301 Odvodnění zpevněných ploch</t>
  </si>
  <si>
    <t>131213701</t>
  </si>
  <si>
    <t>Hloubení nezapažených jam v soudržných horninách třídy těžitelnosti I skupiny 3 ručně</t>
  </si>
  <si>
    <t>131251102</t>
  </si>
  <si>
    <t>Hloubení jam nezapažených v hornině třídy těžitelnosti I skupiny 3 objem do 50 m3 strojně</t>
  </si>
  <si>
    <t>132212121</t>
  </si>
  <si>
    <t>Hloubení zapažených rýh šířky do 800 mm v soudržných horninách třídy těžitelnosti I skupiny 3 ručně</t>
  </si>
  <si>
    <t>poplatek za skládku - zemina</t>
  </si>
  <si>
    <t>182151111</t>
  </si>
  <si>
    <t>Svahování v zářezech v hornině třídy těžitelnosti I skupiny 1 až 3 strojně</t>
  </si>
  <si>
    <t>Zakládání</t>
  </si>
  <si>
    <t>211531111</t>
  </si>
  <si>
    <t>Výplň odvodňovacích žeber nebo trativodů kamenivem hrubým drceným frakce 16 až 63 mm</t>
  </si>
  <si>
    <t>211971122</t>
  </si>
  <si>
    <t>Zřízení opláštění žeber nebo trativodů geotextilií v rýze nebo zářezu přes 1:2 š přes 2,5 m</t>
  </si>
  <si>
    <t>69311081</t>
  </si>
  <si>
    <t>geotextilie netkaná separační, ochranná, filtrační, drenážní PES 300g/m2</t>
  </si>
  <si>
    <t>KOI012 - SO 102 Stavební úpravy místní komunikace</t>
  </si>
  <si>
    <t>113106121</t>
  </si>
  <si>
    <t>Rozebrání dlažeb z betonových nebo kamenných dlaždic komunikací pro pěší ručně</t>
  </si>
  <si>
    <t>113106161</t>
  </si>
  <si>
    <t>Rozebrání dlažeb vozovek z drobných kostek s ložem z kameniva ručně</t>
  </si>
  <si>
    <t>113107112</t>
  </si>
  <si>
    <t>Odstranění podkladu z kameniva těženého tl přes 100 do 200 mm ručně</t>
  </si>
  <si>
    <t>113107152</t>
  </si>
  <si>
    <t>Odstranění podkladu z kameniva těženého tl přes 100 do 200 mm strojně pl přes 50 do 200 m2</t>
  </si>
  <si>
    <t>113202111</t>
  </si>
  <si>
    <t>Vytrhání obrub krajníků obrubníků stojatých</t>
  </si>
  <si>
    <t>121112003</t>
  </si>
  <si>
    <t>Sejmutí ornice tl vrstvy do 200 mm ručně</t>
  </si>
  <si>
    <t>181351103</t>
  </si>
  <si>
    <t>Rozprostření ornice tl vrstvy do 200 mm pl přes 100 do 500 m2 v rovině nebo ve svahu do 1:5 strojně</t>
  </si>
  <si>
    <t>00572410</t>
  </si>
  <si>
    <t>osivo směs travní parková</t>
  </si>
  <si>
    <t>181951111</t>
  </si>
  <si>
    <t>Úprava pláně v hornině třídy těžitelnosti I skupiny 1 až 3 bez zhutnění strojně</t>
  </si>
  <si>
    <t>564851111</t>
  </si>
  <si>
    <t>Podklad ze štěrkodrtě ŠD plochy přes 100 m2 tl 150 mm</t>
  </si>
  <si>
    <t>564871011</t>
  </si>
  <si>
    <t>Podklad ze štěrkodrtě ŠD plochy do 100 m2 tl 250 mm</t>
  </si>
  <si>
    <t>59102(R)</t>
  </si>
  <si>
    <t>dlažba z kamenných odseků min. tl. 80mm vč. pískového lože tl. 40mm</t>
  </si>
  <si>
    <t>591211111</t>
  </si>
  <si>
    <t>Kladení dlažby z kostek drobných z kamene do lože z kameniva těženého tl 50 mm</t>
  </si>
  <si>
    <t>58381007</t>
  </si>
  <si>
    <t>kostka štípaná dlažební žula drobná 8/10</t>
  </si>
  <si>
    <t>596211110</t>
  </si>
  <si>
    <t>Kladení zámkové dlažby komunikací pro pěší ručně tl 60 mm skupiny A pl do 50 m2</t>
  </si>
  <si>
    <t>59245019</t>
  </si>
  <si>
    <t>dlažba tvar obdélník betonová pro nevidomé 200x100x60mm přírodní</t>
  </si>
  <si>
    <t>596212210</t>
  </si>
  <si>
    <t>Kladení zámkové dlažby pozemních komunikací ručně tl 80 mm skupiny A pl do 50 m2</t>
  </si>
  <si>
    <t>59245030</t>
  </si>
  <si>
    <t>dlažba tvar čtverec betonová 200x200x80mm přírodní</t>
  </si>
  <si>
    <t>596412210</t>
  </si>
  <si>
    <t>Kladení dlažby z vegetačních tvárnic pozemních komunikací tl 80 mm pl do 50 m2</t>
  </si>
  <si>
    <t>59201(R)</t>
  </si>
  <si>
    <t>vegetační dlažba 200/200/80mm</t>
  </si>
  <si>
    <t>914111111</t>
  </si>
  <si>
    <t>Montáž svislé dopravní značky do velikosti 1 m2 objímkami na sloupek nebo konzolu</t>
  </si>
  <si>
    <t>40445619</t>
  </si>
  <si>
    <t>zákazové, příkazové dopravní značky B1-B34, C1-15 500mm</t>
  </si>
  <si>
    <t>40445650</t>
  </si>
  <si>
    <t>dodatkové tabulky E7, E12, E13 500x300mm</t>
  </si>
  <si>
    <t>40445621</t>
  </si>
  <si>
    <t>informativní značky provozní IP1-IP3, IP4b-IP7, IP10a, b 500x500mm</t>
  </si>
  <si>
    <t>40445625</t>
  </si>
  <si>
    <t>informativní značky provozní IP8, IP9, IP11-IP13 500x700mm</t>
  </si>
  <si>
    <t>404901(R)</t>
  </si>
  <si>
    <t>značka O1</t>
  </si>
  <si>
    <t>404902(R)</t>
  </si>
  <si>
    <t>značka Z11g</t>
  </si>
  <si>
    <t>914511111</t>
  </si>
  <si>
    <t>Montáž sloupku dopravních značek délky do 3,5 m s betonovým základem</t>
  </si>
  <si>
    <t>40445225</t>
  </si>
  <si>
    <t>sloupek pro dopravní značku Zn D 60mm v 3,5m</t>
  </si>
  <si>
    <t>916231213</t>
  </si>
  <si>
    <t>Osazení chodníkového obrubníku betonového stojatého s boční opěrou do lože z betonu prostého</t>
  </si>
  <si>
    <t>59217017</t>
  </si>
  <si>
    <t>obrubník betonový chodníkový 1000x100x250mm</t>
  </si>
  <si>
    <t>59217019</t>
  </si>
  <si>
    <t>obrubník betonový chodníkový 1000x100x200mm</t>
  </si>
  <si>
    <t>916331112</t>
  </si>
  <si>
    <t>Osazení zahradního obrubníku betonového do lože z betonu s boční opěrou</t>
  </si>
  <si>
    <t>59217002</t>
  </si>
  <si>
    <t>obrubník betonový zahradní šedý 1000x50x200mm</t>
  </si>
  <si>
    <t>916991121</t>
  </si>
  <si>
    <t>Lože pod obrubníky, krajníky nebo obruby z dlažebních kostek z betonu prostého</t>
  </si>
  <si>
    <t>935901(R)</t>
  </si>
  <si>
    <t>D+M štěrbinového žlabu vč. lože a obetonování</t>
  </si>
  <si>
    <t>966006132</t>
  </si>
  <si>
    <t>Odstranění značek dopravních nebo orientačních se sloupky s betonovými patkami</t>
  </si>
  <si>
    <t>979071021</t>
  </si>
  <si>
    <t>Očištění dlažebních kostek drobných s původním spárováním kamenivem těženým při překopech inženýrských sítí</t>
  </si>
  <si>
    <t>997221611</t>
  </si>
  <si>
    <t>Nakládání suti na dopravní prostředky pro vodorovnou dopravu</t>
  </si>
  <si>
    <t>997901(R)</t>
  </si>
  <si>
    <t>poplatek za skládku - beton</t>
  </si>
  <si>
    <t>KOI011 - SO 101 Veřejné prostranství u obecního úřadu</t>
  </si>
  <si>
    <t>113106123</t>
  </si>
  <si>
    <t>Rozebrání dlažeb ze zámkových dlaždic komunikací pro pěší ručně</t>
  </si>
  <si>
    <t>122211101</t>
  </si>
  <si>
    <t>Odkopávky a prokopávky v hornině třídy těžitelnosti I, skupiny 3 ručně</t>
  </si>
  <si>
    <t>122251104</t>
  </si>
  <si>
    <t>Odkopávky a prokopávky nezapažené v hornině třídy těžitelnosti I skupiny 3 objem do 500 m3 strojně</t>
  </si>
  <si>
    <t>132212131</t>
  </si>
  <si>
    <t>Hloubení nezapažených rýh šířky do 800 mm v soudržných horninách třídy těžitelnosti I skupiny 3 ručně</t>
  </si>
  <si>
    <t>212572111</t>
  </si>
  <si>
    <t>Lože pro trativody ze štěrkopísku tříděného</t>
  </si>
  <si>
    <t>212755214</t>
  </si>
  <si>
    <t>Trativody z drenážních trubek plastových flexibilních D 100 mm bez lože</t>
  </si>
  <si>
    <t>274313611</t>
  </si>
  <si>
    <t>Základové pásy z betonu tř. C 16/20</t>
  </si>
  <si>
    <t>Svislé a kompletní konstrukce</t>
  </si>
  <si>
    <t>339921132</t>
  </si>
  <si>
    <t>Osazování betonových palisád do betonového základu v řadě výšky prvku přes 0,5 do 1 m</t>
  </si>
  <si>
    <t>59246020(R)</t>
  </si>
  <si>
    <t>dlažba velkoformátová betonová plochy do 0,5m2 tl 120mm přírodní</t>
  </si>
  <si>
    <t>390(R)</t>
  </si>
  <si>
    <t xml:space="preserve">D+M květináčů betonových 500/1000/500mm - viz PD </t>
  </si>
  <si>
    <t>434121425</t>
  </si>
  <si>
    <t>Osazení ŽB schodišťových stupňů broušených nebo leštěných na desku</t>
  </si>
  <si>
    <t>schodišťový stupeň přímý tryskaný 1000/350/150mm</t>
  </si>
  <si>
    <t>564851012</t>
  </si>
  <si>
    <t>Podklad ze štěrkodrtě ŠD plochy do 100 m2 tl 160 mm</t>
  </si>
  <si>
    <t>564871014</t>
  </si>
  <si>
    <t>Podklad ze štěrkodrtě ŠD plochy do 100 m2 tl 280 mm</t>
  </si>
  <si>
    <t>564871016</t>
  </si>
  <si>
    <t>Podklad ze štěrkodrtě ŠD plochy do 100 m2 tl 300 mm</t>
  </si>
  <si>
    <t>596811411</t>
  </si>
  <si>
    <t>Kladení velkoformátové betonové dlažby tl přes 100 do 150 mm velikosti do 0,5 m2 pl do 300 m2</t>
  </si>
  <si>
    <t>916111123</t>
  </si>
  <si>
    <t>Osazení obruby z drobných kostek s boční opěrou do lože z betonu prostého</t>
  </si>
  <si>
    <t>58381015</t>
  </si>
  <si>
    <t>kostka řezanoštípaná dlažební žula 10x10x10cm</t>
  </si>
  <si>
    <t>981511116</t>
  </si>
  <si>
    <t>Demolice konstrukcí objektů z betonu prostého postupným rozebíráním</t>
  </si>
  <si>
    <t>Revitalizace návsi u OU Bělkovice - Laštany</t>
  </si>
  <si>
    <t>17. 1. 2024</t>
  </si>
  <si>
    <t>IDS - Inženýrské a dopravní stavby Olomouc a.s.</t>
  </si>
  <si>
    <t>REKAPITULACE OBJEKTŮ STAVBY A SOUPISŮ PRACÍ</t>
  </si>
  <si>
    <t>Náklady z rozpočtů</t>
  </si>
  <si>
    <t>/</t>
  </si>
  <si>
    <t>KOI011</t>
  </si>
  <si>
    <t>SO 101 Veřejné prostranství u obecního úřadu</t>
  </si>
  <si>
    <t>Soupis</t>
  </si>
  <si>
    <t>KOI012</t>
  </si>
  <si>
    <t>SO 102 Stavební úpravy místní komunikace</t>
  </si>
  <si>
    <t>KOI013</t>
  </si>
  <si>
    <t>SO 301 Odvodnění zpevněných ploch</t>
  </si>
  <si>
    <t>KOI014</t>
  </si>
  <si>
    <t>SO 302 Retenční nádrže</t>
  </si>
  <si>
    <t>KOI015</t>
  </si>
  <si>
    <t>SO 303 Retenční nádrže u sokolovny</t>
  </si>
  <si>
    <t>KOI017</t>
  </si>
  <si>
    <t>SO 701 Objekty pozemních staveb- podium</t>
  </si>
  <si>
    <t>KOI018</t>
  </si>
  <si>
    <t>SO 720 Objekty pozemních staveb- vodní dílo</t>
  </si>
  <si>
    <t>KOI019</t>
  </si>
  <si>
    <t>SO 801 Sadové úpravy</t>
  </si>
  <si>
    <t>KOI021</t>
  </si>
  <si>
    <t>KOI0221</t>
  </si>
  <si>
    <t>Silnoproudá elektrotechnika</t>
  </si>
  <si>
    <t>KOI0222</t>
  </si>
  <si>
    <t>Slaboproudá elektrotechnika</t>
  </si>
  <si>
    <t>KOI023</t>
  </si>
  <si>
    <t>KOI031</t>
  </si>
  <si>
    <t>Fakturovano v předchozím období</t>
  </si>
  <si>
    <t>Fakturováno v měsíci</t>
  </si>
  <si>
    <t>Fakturováno celkem</t>
  </si>
  <si>
    <t>Rozdíl</t>
  </si>
  <si>
    <t>Fakturováno v měsíci srpen</t>
  </si>
  <si>
    <t>Množství celkem</t>
  </si>
  <si>
    <t>Celková cena bez DPH (Kč)</t>
  </si>
  <si>
    <t>%</t>
  </si>
  <si>
    <t xml:space="preserve">Fakturováno v měsíci </t>
  </si>
  <si>
    <t>Fakturační období</t>
  </si>
  <si>
    <t>Revitalizace návsi u OU Bělkovice - Lašťany</t>
  </si>
  <si>
    <t>Množství dle D1</t>
  </si>
  <si>
    <t>Cena celkem dle D1</t>
  </si>
  <si>
    <t>Cena dle SoD</t>
  </si>
  <si>
    <t>Cena dle D1</t>
  </si>
  <si>
    <t>N</t>
  </si>
  <si>
    <t>Nové položky</t>
  </si>
  <si>
    <t>596811123</t>
  </si>
  <si>
    <t>Kladení betonové dlažby komunikací pro pěší do lože z kameniva velikosti do 0,09 m2 pl přes 300 m2</t>
  </si>
  <si>
    <t>59246069</t>
  </si>
  <si>
    <t>dlažba skladebná vsakovací betonová z více formátů o max. rozměrech 280x210mm tl 80mm přírodní</t>
  </si>
  <si>
    <t>KOI04 - Vícepráce-zemní práce pro techn. vodního prvků, přesunutí pomníku</t>
  </si>
  <si>
    <t>Vyplň údaj</t>
  </si>
  <si>
    <t>380321662</t>
  </si>
  <si>
    <t>Kompletní konstrukce ČOV, nádrží, vodojemů, žlabů nebo kanálů ze ŽB tř. C 30/37 tl přes 150 do 300 mm</t>
  </si>
  <si>
    <t>380361006</t>
  </si>
  <si>
    <t>Výztuž kompletních konstrukcí ČOV, nádrží nebo vodojemů z betonářské oceli 10 505</t>
  </si>
  <si>
    <t>452311151</t>
  </si>
  <si>
    <t>Podkladní desky z betonu prostého bez zvýšených nároků na prostředí tř. C 20/25 otevřený výkop</t>
  </si>
  <si>
    <t>Vedení trubní dálková a přípojná</t>
  </si>
  <si>
    <t>801</t>
  </si>
  <si>
    <t>stavební úpravy stáv. studny</t>
  </si>
  <si>
    <t>877310310</t>
  </si>
  <si>
    <t>Montáž kolen na kanalizačním potrubí z PP trub hladkých plnostěnných DN 150</t>
  </si>
  <si>
    <t>28654600T</t>
  </si>
  <si>
    <t>koleno kanalizační; PP; 45,0 °; DN 150,0 mm; s 1 hrdlem; spoj násuvný</t>
  </si>
  <si>
    <t>nabídková cena</t>
  </si>
  <si>
    <t>Demontáž kříže</t>
  </si>
  <si>
    <t>Zhotovení nových schodišťových stupňů ( Božanovský pískovec)</t>
  </si>
  <si>
    <t>Snímámí biologického napadení</t>
  </si>
  <si>
    <t>Snímámí tmavých depozitů z povrchu kamene</t>
  </si>
  <si>
    <t>Odstranění dožitých vysprávek a spárování</t>
  </si>
  <si>
    <t>Zpevnění degradovaného kemene organokřemičitými přestředky</t>
  </si>
  <si>
    <t>Plastické retuš ( tmelení) kamena na podstavci</t>
  </si>
  <si>
    <t>Plastické retuš ( tmelení) kamena na korpusu Krista</t>
  </si>
  <si>
    <t>Odvrtání korodovaných čepů, nahrazení z nerezu</t>
  </si>
  <si>
    <t>Osazení obvodového šchodišťového stupně</t>
  </si>
  <si>
    <t>Montáž kříže, lešení, pomocné konstrukce</t>
  </si>
  <si>
    <t>Sprárování kamene</t>
  </si>
  <si>
    <t>Barevná retuš kamene a všech doplnků</t>
  </si>
  <si>
    <t>Biocidní ošetření</t>
  </si>
  <si>
    <t>Hydrofobizace kamene</t>
  </si>
  <si>
    <t>900</t>
  </si>
  <si>
    <t>Osazení plastové strojovny vodního prvku</t>
  </si>
  <si>
    <t xml:space="preserve">ZL 1 </t>
  </si>
  <si>
    <t xml:space="preserve">Červenec 2025. </t>
  </si>
  <si>
    <t>Cena dle D2</t>
  </si>
  <si>
    <t>Množství dle SOD</t>
  </si>
  <si>
    <t>Množství dle D2</t>
  </si>
  <si>
    <t>Cena celkem dle D2</t>
  </si>
  <si>
    <t>Svítidlo nové Teko P RAL 7015</t>
  </si>
  <si>
    <t>Sloup nabarvený RAL 7015  5m</t>
  </si>
  <si>
    <t>Kabel Cyky 4Jx10</t>
  </si>
  <si>
    <t>Drát Cyazž 16mm</t>
  </si>
  <si>
    <t>Spojky kabelové 6-35mm2</t>
  </si>
  <si>
    <t>D+M podružného elektrorozvěděče včetně vystrojení</t>
  </si>
  <si>
    <t>Nové pložky</t>
  </si>
  <si>
    <t>Cena nabíječky kol doplněná dle požadavkú INV</t>
  </si>
  <si>
    <t>Cena nabíječky aut doplněná dle požadavků INV</t>
  </si>
  <si>
    <t>Svítidlo zemní IP67, výklopné del požadaků INV</t>
  </si>
  <si>
    <t>Přemístění sloupu VO u sokolovny</t>
  </si>
  <si>
    <t>násyp z kameniva žulového fr. 64 - 125</t>
  </si>
  <si>
    <t>77615213</t>
  </si>
  <si>
    <t xml:space="preserve">Nátěr konstrkcí betonových </t>
  </si>
  <si>
    <t>Krystakický nátěr Xypex</t>
  </si>
  <si>
    <t>Konstrukce zámečnické</t>
  </si>
  <si>
    <t>D + M, Nerezový obrubník pro oharičení kašny</t>
  </si>
  <si>
    <t>213141111</t>
  </si>
  <si>
    <t>Zřízení vrstvy geotextilií v rovině ne sklonu 1:5 š do 3 m</t>
  </si>
  <si>
    <t>Podklad z R-materiálu tl 50 mm</t>
  </si>
  <si>
    <t>Podklad z R-materiálu tl 100 mm</t>
  </si>
  <si>
    <t xml:space="preserve">D + M poklopů nba stávjící revizní šachty </t>
  </si>
  <si>
    <t>Kladení dlažby velké kostk, lože z betonu tl. do 100mm</t>
  </si>
  <si>
    <t>VCP</t>
  </si>
  <si>
    <t>Napojení deštových svodů 639 a 37</t>
  </si>
  <si>
    <t>dvouřádek kostek</t>
  </si>
  <si>
    <t>sanace pláně</t>
  </si>
  <si>
    <t>odstranění podkladu</t>
  </si>
  <si>
    <t>Chráníčky pro NN k OÚ</t>
  </si>
  <si>
    <t>899623151</t>
  </si>
  <si>
    <t>230191017</t>
  </si>
  <si>
    <t>KOPOS KOPOFLEX d100</t>
  </si>
  <si>
    <t>čistící zona pře OÚ</t>
  </si>
  <si>
    <t xml:space="preserve">D+M čístící zony před vstup do budovy OÚCleanboxu o rozměru 1000*500 </t>
  </si>
  <si>
    <t xml:space="preserve">pozinkování ocelových nosníků </t>
  </si>
  <si>
    <t>Výroba a montáž kov. Atipyckých konstrukcí</t>
  </si>
  <si>
    <t>Tyč ocelová UPE 140, S235JR</t>
  </si>
  <si>
    <t>Záměčnické výrobky</t>
  </si>
  <si>
    <t>předláždění vjezdu č.p. 35</t>
  </si>
  <si>
    <t>úprava podkladu pod květináče</t>
  </si>
  <si>
    <t>Obetonování potrubí nebo zdiva stok betonem C16/20</t>
  </si>
  <si>
    <t>květináče</t>
  </si>
  <si>
    <t>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</si>
</sst>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164" formatCode="dd\.mm\.yyyy"/>
    <numFmt numFmtId="165" formatCode="#,##0.00000"/>
    <numFmt numFmtId="166" formatCode="#,##0.000"/>
    <numFmt numFmtId="167" formatCode="#,##0.00_ ;[Red]\-#,##0.00\ "/>
    <numFmt numFmtId="168" formatCode="_-* #,##0.00\ [$Kč-405]_-;\-* #,##0.00\ [$Kč-405]_-;_-* &quot;-&quot;??\ [$Kč-405]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336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8"/>
      <color rgb="FF960000"/>
      <name val="Arial CE"/>
      <charset val="238"/>
    </font>
    <font>
      <b/>
      <sz val="8"/>
      <name val="Arial CE"/>
      <charset val="238"/>
    </font>
    <font>
      <sz val="8"/>
      <color rgb="FF003366"/>
      <name val="Arial CE"/>
    </font>
    <font>
      <b/>
      <sz val="8"/>
      <color rgb="FF003366"/>
      <name val="Arial CE"/>
      <charset val="238"/>
    </font>
    <font>
      <sz val="8"/>
      <name val="Arial CE"/>
      <family val="2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sz val="9"/>
      <name val="Arial CE"/>
    </font>
    <font>
      <b/>
      <sz val="12"/>
      <color rgb="FF960000"/>
      <name val="Arial CE"/>
    </font>
    <font>
      <sz val="12"/>
      <color rgb="FF003366"/>
      <name val="Arial CE"/>
    </font>
    <font>
      <sz val="10"/>
      <color rgb="FF003366"/>
      <name val="Arial CE"/>
    </font>
    <font>
      <i/>
      <sz val="9"/>
      <color rgb="FF0000FF"/>
      <name val="Arial CE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8" fillId="0" borderId="0"/>
    <xf numFmtId="0" fontId="26" fillId="0" borderId="0"/>
  </cellStyleXfs>
  <cellXfs count="19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/>
    <xf numFmtId="0" fontId="10" fillId="0" borderId="3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9" fillId="0" borderId="0" xfId="0" applyNumberFormat="1" applyFont="1"/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166" fontId="8" fillId="0" borderId="14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 applyProtection="1">
      <alignment vertical="center"/>
      <protection locked="0"/>
    </xf>
    <xf numFmtId="4" fontId="8" fillId="0" borderId="1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12" fillId="0" borderId="14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166" fontId="12" fillId="0" borderId="14" xfId="0" applyNumberFormat="1" applyFont="1" applyBorder="1" applyAlignment="1">
      <alignment vertical="center"/>
    </xf>
    <xf numFmtId="4" fontId="12" fillId="2" borderId="14" xfId="0" applyNumberFormat="1" applyFont="1" applyFill="1" applyBorder="1" applyAlignment="1" applyProtection="1">
      <alignment vertical="center"/>
      <protection locked="0"/>
    </xf>
    <xf numFmtId="4" fontId="12" fillId="0" borderId="1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9" fillId="5" borderId="19" xfId="2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21" fillId="6" borderId="20" xfId="0" applyFont="1" applyFill="1" applyBorder="1" applyAlignment="1" applyProtection="1">
      <alignment horizontal="center" vertical="center" wrapText="1"/>
      <protection locked="0"/>
    </xf>
    <xf numFmtId="0" fontId="21" fillId="6" borderId="26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 applyProtection="1">
      <alignment horizontal="center" vertical="center" wrapText="1"/>
      <protection locked="0"/>
    </xf>
    <xf numFmtId="4" fontId="22" fillId="0" borderId="12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0" fontId="24" fillId="0" borderId="3" xfId="0" applyFont="1" applyBorder="1"/>
    <xf numFmtId="4" fontId="25" fillId="0" borderId="1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4" fillId="0" borderId="0" xfId="0" applyFont="1"/>
    <xf numFmtId="4" fontId="20" fillId="7" borderId="27" xfId="0" applyNumberFormat="1" applyFont="1" applyFill="1" applyBorder="1" applyAlignment="1" applyProtection="1">
      <alignment horizontal="center" vertical="center"/>
      <protection locked="0"/>
    </xf>
    <xf numFmtId="6" fontId="20" fillId="7" borderId="28" xfId="0" applyNumberFormat="1" applyFont="1" applyFill="1" applyBorder="1" applyAlignment="1" applyProtection="1">
      <alignment horizontal="center" vertical="center"/>
      <protection locked="0"/>
    </xf>
    <xf numFmtId="4" fontId="20" fillId="8" borderId="27" xfId="0" applyNumberFormat="1" applyFont="1" applyFill="1" applyBorder="1" applyAlignment="1">
      <alignment vertical="center"/>
    </xf>
    <xf numFmtId="6" fontId="20" fillId="9" borderId="29" xfId="0" applyNumberFormat="1" applyFont="1" applyFill="1" applyBorder="1" applyAlignment="1" applyProtection="1">
      <alignment horizontal="center" vertical="center"/>
      <protection locked="0"/>
    </xf>
    <xf numFmtId="6" fontId="20" fillId="7" borderId="30" xfId="0" applyNumberFormat="1" applyFont="1" applyFill="1" applyBorder="1" applyAlignment="1" applyProtection="1">
      <alignment horizontal="center" vertical="center"/>
      <protection locked="0"/>
    </xf>
    <xf numFmtId="10" fontId="20" fillId="7" borderId="29" xfId="0" applyNumberFormat="1" applyFont="1" applyFill="1" applyBorder="1" applyAlignment="1" applyProtection="1">
      <alignment horizontal="center" vertical="center"/>
      <protection locked="0"/>
    </xf>
    <xf numFmtId="167" fontId="20" fillId="7" borderId="31" xfId="0" applyNumberFormat="1" applyFont="1" applyFill="1" applyBorder="1" applyAlignment="1" applyProtection="1">
      <alignment horizontal="center" vertical="center"/>
      <protection locked="0"/>
    </xf>
    <xf numFmtId="6" fontId="20" fillId="7" borderId="30" xfId="0" applyNumberFormat="1" applyFont="1" applyFill="1" applyBorder="1" applyAlignment="1">
      <alignment horizontal="center" vertical="center"/>
    </xf>
    <xf numFmtId="10" fontId="20" fillId="7" borderId="30" xfId="0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7" fontId="3" fillId="0" borderId="34" xfId="0" applyNumberFormat="1" applyFont="1" applyBorder="1" applyAlignment="1">
      <alignment horizontal="right" vertical="center"/>
    </xf>
    <xf numFmtId="168" fontId="5" fillId="0" borderId="34" xfId="0" applyNumberFormat="1" applyFont="1" applyBorder="1" applyAlignment="1">
      <alignment vertical="center"/>
    </xf>
    <xf numFmtId="168" fontId="4" fillId="0" borderId="34" xfId="0" applyNumberFormat="1" applyFont="1" applyBorder="1" applyAlignment="1">
      <alignment vertical="center"/>
    </xf>
    <xf numFmtId="0" fontId="8" fillId="11" borderId="14" xfId="0" applyFont="1" applyFill="1" applyBorder="1" applyAlignment="1">
      <alignment horizontal="left" vertical="center" wrapText="1"/>
    </xf>
    <xf numFmtId="0" fontId="12" fillId="11" borderId="14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vertical="center"/>
    </xf>
    <xf numFmtId="4" fontId="8" fillId="2" borderId="0" xfId="0" applyNumberFormat="1" applyFont="1" applyFill="1" applyAlignment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4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4" fontId="32" fillId="0" borderId="0" xfId="0" applyNumberFormat="1" applyFont="1"/>
    <xf numFmtId="0" fontId="2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4" fillId="0" borderId="0" xfId="0" applyFont="1" applyProtection="1">
      <protection locked="0"/>
    </xf>
    <xf numFmtId="4" fontId="33" fillId="0" borderId="0" xfId="0" applyNumberFormat="1" applyFont="1"/>
    <xf numFmtId="0" fontId="34" fillId="0" borderId="0" xfId="0" applyFont="1" applyAlignment="1">
      <alignment horizontal="left"/>
    </xf>
    <xf numFmtId="4" fontId="34" fillId="0" borderId="0" xfId="0" applyNumberFormat="1" applyFont="1"/>
    <xf numFmtId="4" fontId="24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49" fontId="31" fillId="0" borderId="14" xfId="0" applyNumberFormat="1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166" fontId="31" fillId="0" borderId="14" xfId="0" applyNumberFormat="1" applyFont="1" applyBorder="1" applyAlignment="1" applyProtection="1">
      <alignment vertical="center"/>
      <protection locked="0"/>
    </xf>
    <xf numFmtId="4" fontId="31" fillId="2" borderId="14" xfId="0" applyNumberFormat="1" applyFont="1" applyFill="1" applyBorder="1" applyAlignment="1" applyProtection="1">
      <alignment vertical="center"/>
      <protection locked="0"/>
    </xf>
    <xf numFmtId="4" fontId="31" fillId="0" borderId="14" xfId="0" applyNumberFormat="1" applyFont="1" applyBorder="1" applyAlignment="1" applyProtection="1">
      <alignment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49" fontId="35" fillId="0" borderId="14" xfId="0" applyNumberFormat="1" applyFont="1" applyBorder="1" applyAlignment="1" applyProtection="1">
      <alignment horizontal="left" vertical="center" wrapText="1"/>
      <protection locked="0"/>
    </xf>
    <xf numFmtId="0" fontId="35" fillId="0" borderId="14" xfId="0" applyFont="1" applyBorder="1" applyAlignment="1" applyProtection="1">
      <alignment horizontal="left" vertical="center"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166" fontId="35" fillId="0" borderId="14" xfId="0" applyNumberFormat="1" applyFont="1" applyBorder="1" applyAlignment="1" applyProtection="1">
      <alignment vertical="center"/>
      <protection locked="0"/>
    </xf>
    <xf numFmtId="4" fontId="35" fillId="2" borderId="14" xfId="0" applyNumberFormat="1" applyFont="1" applyFill="1" applyBorder="1" applyAlignment="1" applyProtection="1">
      <alignment vertical="center"/>
      <protection locked="0"/>
    </xf>
    <xf numFmtId="4" fontId="35" fillId="0" borderId="14" xfId="0" applyNumberFormat="1" applyFont="1" applyBorder="1" applyAlignment="1" applyProtection="1">
      <alignment vertical="center"/>
      <protection locked="0"/>
    </xf>
    <xf numFmtId="49" fontId="31" fillId="10" borderId="14" xfId="0" applyNumberFormat="1" applyFont="1" applyFill="1" applyBorder="1" applyAlignment="1" applyProtection="1">
      <alignment horizontal="left" vertical="center" wrapText="1"/>
      <protection locked="0"/>
    </xf>
    <xf numFmtId="0" fontId="31" fillId="10" borderId="14" xfId="0" applyFont="1" applyFill="1" applyBorder="1" applyAlignment="1" applyProtection="1">
      <alignment horizontal="left" vertical="center" wrapText="1"/>
      <protection locked="0"/>
    </xf>
    <xf numFmtId="49" fontId="35" fillId="10" borderId="14" xfId="0" applyNumberFormat="1" applyFont="1" applyFill="1" applyBorder="1" applyAlignment="1" applyProtection="1">
      <alignment horizontal="left" vertical="center" wrapText="1"/>
      <protection locked="0"/>
    </xf>
    <xf numFmtId="0" fontId="35" fillId="10" borderId="14" xfId="0" applyFont="1" applyFill="1" applyBorder="1" applyAlignment="1" applyProtection="1">
      <alignment horizontal="left" vertical="center" wrapText="1"/>
      <protection locked="0"/>
    </xf>
    <xf numFmtId="166" fontId="0" fillId="0" borderId="0" xfId="0" applyNumberFormat="1"/>
    <xf numFmtId="4" fontId="10" fillId="0" borderId="0" xfId="0" applyNumberFormat="1" applyFont="1"/>
    <xf numFmtId="168" fontId="0" fillId="0" borderId="0" xfId="0" applyNumberFormat="1"/>
    <xf numFmtId="0" fontId="0" fillId="10" borderId="0" xfId="0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166" fontId="8" fillId="0" borderId="35" xfId="0" applyNumberFormat="1" applyFont="1" applyBorder="1" applyAlignment="1">
      <alignment vertical="center"/>
    </xf>
    <xf numFmtId="4" fontId="8" fillId="2" borderId="35" xfId="0" applyNumberFormat="1" applyFont="1" applyFill="1" applyBorder="1" applyAlignment="1" applyProtection="1">
      <alignment vertical="center"/>
      <protection locked="0"/>
    </xf>
    <xf numFmtId="0" fontId="0" fillId="0" borderId="36" xfId="0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166" fontId="8" fillId="0" borderId="37" xfId="0" applyNumberFormat="1" applyFont="1" applyBorder="1" applyAlignment="1">
      <alignment vertical="center"/>
    </xf>
    <xf numFmtId="4" fontId="8" fillId="2" borderId="37" xfId="0" applyNumberFormat="1" applyFont="1" applyFill="1" applyBorder="1" applyAlignment="1" applyProtection="1">
      <alignment vertical="center"/>
      <protection locked="0"/>
    </xf>
    <xf numFmtId="4" fontId="12" fillId="0" borderId="37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166" fontId="8" fillId="11" borderId="14" xfId="0" applyNumberFormat="1" applyFont="1" applyFill="1" applyBorder="1" applyAlignment="1">
      <alignment vertical="center"/>
    </xf>
    <xf numFmtId="166" fontId="12" fillId="11" borderId="14" xfId="0" applyNumberFormat="1" applyFont="1" applyFill="1" applyBorder="1" applyAlignment="1">
      <alignment vertical="center"/>
    </xf>
    <xf numFmtId="166" fontId="10" fillId="0" borderId="0" xfId="0" applyNumberFormat="1" applyFont="1"/>
    <xf numFmtId="168" fontId="0" fillId="0" borderId="0" xfId="0" applyNumberFormat="1" applyAlignment="1">
      <alignment vertical="center"/>
    </xf>
    <xf numFmtId="168" fontId="3" fillId="0" borderId="0" xfId="0" applyNumberFormat="1" applyFont="1" applyAlignment="1">
      <alignment vertical="center"/>
    </xf>
    <xf numFmtId="4" fontId="8" fillId="10" borderId="14" xfId="0" applyNumberFormat="1" applyFont="1" applyFill="1" applyBorder="1" applyAlignment="1">
      <alignment vertical="center"/>
    </xf>
    <xf numFmtId="166" fontId="8" fillId="10" borderId="14" xfId="0" applyNumberFormat="1" applyFont="1" applyFill="1" applyBorder="1" applyAlignment="1">
      <alignment vertical="center"/>
    </xf>
    <xf numFmtId="4" fontId="12" fillId="10" borderId="14" xfId="0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8" fontId="11" fillId="0" borderId="0" xfId="3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14" fillId="0" borderId="0" xfId="3" applyNumberFormat="1" applyFont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10" borderId="0" xfId="0" applyFont="1" applyFill="1" applyAlignment="1">
      <alignment horizontal="left" vertical="center" wrapText="1"/>
    </xf>
    <xf numFmtId="0" fontId="0" fillId="10" borderId="0" xfId="0" applyFill="1" applyAlignment="1">
      <alignment vertical="center"/>
    </xf>
    <xf numFmtId="0" fontId="0" fillId="0" borderId="0" xfId="0"/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</cellXfs>
  <cellStyles count="4">
    <cellStyle name="Hypertextový odkaz" xfId="1" builtinId="8"/>
    <cellStyle name="Normal" xfId="2" xr:uid="{C48E28D5-4773-4E62-B3C4-D4BD1FAA20C3}"/>
    <cellStyle name="Normální" xfId="0" builtinId="0"/>
    <cellStyle name="Normální 2" xfId="3" xr:uid="{DF15B2D6-3492-446E-AF10-A693135BE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24F6-FFF0-494A-A4F8-F59F14A2F01A}">
  <sheetPr>
    <pageSetUpPr fitToPage="1"/>
  </sheetPr>
  <dimension ref="A2:AW29"/>
  <sheetViews>
    <sheetView view="pageBreakPreview" topLeftCell="B7" zoomScaleNormal="100" zoomScaleSheetLayoutView="100" workbookViewId="0">
      <selection activeCell="AO19" sqref="AO19"/>
    </sheetView>
  </sheetViews>
  <sheetFormatPr defaultRowHeight="14.5" x14ac:dyDescent="0.35"/>
  <cols>
    <col min="1" max="1" width="4.1796875" customWidth="1"/>
    <col min="2" max="2" width="1.36328125" customWidth="1"/>
    <col min="3" max="3" width="3.36328125" customWidth="1"/>
    <col min="4" max="6" width="2.1796875" customWidth="1"/>
    <col min="7" max="7" width="3.6328125" customWidth="1"/>
    <col min="8" max="30" width="2.1796875" customWidth="1"/>
    <col min="31" max="31" width="2.7265625" customWidth="1"/>
    <col min="32" max="32" width="25.90625" hidden="1" customWidth="1"/>
    <col min="33" max="34" width="2" customWidth="1"/>
    <col min="35" max="35" width="8.90625" customWidth="1"/>
    <col min="36" max="36" width="2.7265625" customWidth="1"/>
    <col min="37" max="37" width="12.81640625" hidden="1" customWidth="1"/>
    <col min="38" max="42" width="20.36328125" customWidth="1"/>
    <col min="43" max="43" width="20.6328125" customWidth="1"/>
    <col min="44" max="44" width="19.6328125" customWidth="1"/>
    <col min="45" max="45" width="21.08984375" customWidth="1"/>
    <col min="46" max="46" width="21.90625" customWidth="1"/>
    <col min="48" max="48" width="17.54296875" customWidth="1"/>
    <col min="49" max="49" width="12.90625" bestFit="1" customWidth="1"/>
  </cols>
  <sheetData>
    <row r="2" spans="1:49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Q2" s="82"/>
      <c r="AR2" s="82"/>
      <c r="AS2" s="82"/>
      <c r="AT2" s="83"/>
    </row>
    <row r="3" spans="1:49" s="5" customFormat="1" ht="24.9" customHeight="1" x14ac:dyDescent="0.35">
      <c r="B3" s="4"/>
      <c r="C3" s="2" t="s">
        <v>1037</v>
      </c>
      <c r="AT3" s="84"/>
    </row>
    <row r="4" spans="1:49" s="47" customFormat="1" ht="36.9" customHeight="1" x14ac:dyDescent="0.35">
      <c r="B4" s="48"/>
      <c r="C4" s="49" t="s">
        <v>1</v>
      </c>
      <c r="I4" s="169" t="s">
        <v>1074</v>
      </c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M4" s="157"/>
      <c r="AO4" s="157"/>
      <c r="AP4" s="157">
        <f>AP6-AN10</f>
        <v>522938.05899999989</v>
      </c>
      <c r="AS4" s="47" t="s">
        <v>1073</v>
      </c>
      <c r="AT4" s="85" t="s">
        <v>1119</v>
      </c>
    </row>
    <row r="5" spans="1:49" s="5" customFormat="1" ht="15.15" customHeight="1" x14ac:dyDescent="0.35">
      <c r="B5" s="4"/>
      <c r="C5" s="3" t="s">
        <v>10</v>
      </c>
      <c r="I5" s="45" t="s">
        <v>11</v>
      </c>
      <c r="AF5" s="3"/>
      <c r="AJ5" s="50"/>
      <c r="AT5" s="84"/>
    </row>
    <row r="6" spans="1:49" s="5" customFormat="1" ht="15.15" customHeight="1" thickBot="1" x14ac:dyDescent="0.4">
      <c r="B6" s="4"/>
      <c r="C6" s="3" t="s">
        <v>12</v>
      </c>
      <c r="I6" s="45" t="s">
        <v>1036</v>
      </c>
      <c r="AF6" s="3"/>
      <c r="AJ6" s="50" t="s">
        <v>8</v>
      </c>
      <c r="AN6" s="156"/>
      <c r="AO6" s="80">
        <v>14370673.03053</v>
      </c>
      <c r="AP6" s="80">
        <v>2168003.3475299994</v>
      </c>
      <c r="AT6" s="84"/>
    </row>
    <row r="7" spans="1:49" s="5" customFormat="1" ht="11" customHeight="1" x14ac:dyDescent="0.35">
      <c r="B7" s="4"/>
      <c r="AQ7" s="163" t="s">
        <v>1064</v>
      </c>
      <c r="AR7" s="163" t="s">
        <v>1065</v>
      </c>
      <c r="AS7" s="163" t="s">
        <v>1066</v>
      </c>
      <c r="AT7" s="165" t="s">
        <v>1067</v>
      </c>
    </row>
    <row r="8" spans="1:49" s="5" customFormat="1" ht="29.25" customHeight="1" thickBot="1" x14ac:dyDescent="0.4">
      <c r="B8" s="4"/>
      <c r="C8" s="176" t="s">
        <v>21</v>
      </c>
      <c r="D8" s="167"/>
      <c r="E8" s="167"/>
      <c r="F8" s="167"/>
      <c r="G8" s="10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8" t="s">
        <v>1077</v>
      </c>
      <c r="AE8" s="167"/>
      <c r="AF8" s="167"/>
      <c r="AG8" s="167"/>
      <c r="AH8" s="167"/>
      <c r="AI8" s="167"/>
      <c r="AJ8" s="167"/>
      <c r="AK8" s="51" t="s">
        <v>20</v>
      </c>
      <c r="AL8" s="51" t="s">
        <v>1078</v>
      </c>
      <c r="AM8" s="51" t="s">
        <v>1120</v>
      </c>
      <c r="AN8" s="51" t="s">
        <v>86</v>
      </c>
      <c r="AO8" s="51" t="s">
        <v>1166</v>
      </c>
      <c r="AP8" s="51" t="s">
        <v>1147</v>
      </c>
      <c r="AQ8" s="164"/>
      <c r="AR8" s="164"/>
      <c r="AS8" s="164"/>
      <c r="AT8" s="166"/>
    </row>
    <row r="9" spans="1:49" s="5" customFormat="1" ht="19.5" customHeight="1" x14ac:dyDescent="0.2">
      <c r="B9" s="4"/>
      <c r="AL9" s="156"/>
      <c r="AM9" s="156"/>
      <c r="AQ9" s="56" t="s">
        <v>16</v>
      </c>
      <c r="AR9" s="56" t="s">
        <v>16</v>
      </c>
      <c r="AS9" s="56" t="s">
        <v>16</v>
      </c>
      <c r="AT9" s="56" t="s">
        <v>16</v>
      </c>
    </row>
    <row r="10" spans="1:49" s="52" customFormat="1" ht="19.5" customHeight="1" x14ac:dyDescent="0.35">
      <c r="B10" s="53"/>
      <c r="C10" s="20" t="s">
        <v>1038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172">
        <f>SUM(AD11:AJ23)</f>
        <v>11744979.979999999</v>
      </c>
      <c r="AE10" s="172"/>
      <c r="AF10" s="172"/>
      <c r="AG10" s="172"/>
      <c r="AH10" s="172"/>
      <c r="AI10" s="172"/>
      <c r="AJ10" s="172"/>
      <c r="AK10" s="80">
        <f>SUM(AK11:AV23)</f>
        <v>47176697.881352291</v>
      </c>
      <c r="AL10" s="80">
        <f t="shared" ref="AL10:AT10" si="0">SUM(AL11:AL25)</f>
        <v>12202669.68543</v>
      </c>
      <c r="AM10" s="80">
        <f>SUM(AM11:AM25)</f>
        <v>13847734.971530002</v>
      </c>
      <c r="AN10" s="80">
        <f t="shared" si="0"/>
        <v>1645065.2885299996</v>
      </c>
      <c r="AO10" s="80">
        <f t="shared" si="0"/>
        <v>-1352990.4700000002</v>
      </c>
      <c r="AP10" s="80">
        <f>AM10-AD10</f>
        <v>2102754.991530003</v>
      </c>
      <c r="AQ10" s="79">
        <f t="shared" si="0"/>
        <v>9716344.9546605013</v>
      </c>
      <c r="AR10" s="80">
        <f t="shared" si="0"/>
        <v>945934.52098680008</v>
      </c>
      <c r="AS10" s="80">
        <f t="shared" si="0"/>
        <v>10533218.056648498</v>
      </c>
      <c r="AT10" s="86">
        <f t="shared" si="0"/>
        <v>1669451.6287815012</v>
      </c>
      <c r="AU10" s="9"/>
      <c r="AV10" s="9">
        <f>AT10+AS10-AL10</f>
        <v>0</v>
      </c>
    </row>
    <row r="11" spans="1:49" s="45" customFormat="1" ht="23.25" customHeight="1" x14ac:dyDescent="0.35">
      <c r="A11" s="55" t="s">
        <v>1039</v>
      </c>
      <c r="B11" s="46"/>
      <c r="C11" s="35"/>
      <c r="D11" s="161" t="s">
        <v>1040</v>
      </c>
      <c r="E11" s="161"/>
      <c r="F11" s="161"/>
      <c r="G11" s="161"/>
      <c r="H11" s="161" t="s">
        <v>1041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2">
        <v>1889589.62</v>
      </c>
      <c r="AE11" s="162"/>
      <c r="AF11" s="162"/>
      <c r="AG11" s="162"/>
      <c r="AH11" s="162"/>
      <c r="AI11" s="162"/>
      <c r="AJ11" s="162"/>
      <c r="AK11" s="81" t="s">
        <v>1042</v>
      </c>
      <c r="AL11" s="81">
        <f>'KOI011 - SO 101 Veřejné p...'!K18</f>
        <v>1889589.6199999999</v>
      </c>
      <c r="AM11" s="81">
        <f>'KOI011 - SO 101 Veřejné p...'!L18</f>
        <v>2474841.3286399995</v>
      </c>
      <c r="AN11" s="81">
        <f t="shared" ref="AN11:AN24" si="1">AM11-AL11</f>
        <v>585251.70863999962</v>
      </c>
      <c r="AO11" s="81"/>
      <c r="AP11" s="81"/>
      <c r="AQ11" s="81">
        <f>'KOI011 - SO 101 Veřejné p...'!N18</f>
        <v>1834393.5202349997</v>
      </c>
      <c r="AR11" s="81">
        <f>'KOI011 - SO 101 Veřejné p...'!P18</f>
        <v>0</v>
      </c>
      <c r="AS11" s="81">
        <f>'KOI011 - SO 101 Veřejné p...'!R18</f>
        <v>1834393.5202349997</v>
      </c>
      <c r="AT11" s="87">
        <f>AL11-AS11</f>
        <v>55196.099765000166</v>
      </c>
      <c r="AU11" s="6" t="s">
        <v>6</v>
      </c>
      <c r="AV11" s="81">
        <f>AL11-AT11-AS11</f>
        <v>0</v>
      </c>
    </row>
    <row r="12" spans="1:49" s="45" customFormat="1" ht="23.25" customHeight="1" x14ac:dyDescent="0.35">
      <c r="A12" s="55" t="s">
        <v>1039</v>
      </c>
      <c r="B12" s="46"/>
      <c r="C12" s="35"/>
      <c r="D12" s="161" t="s">
        <v>1043</v>
      </c>
      <c r="E12" s="161"/>
      <c r="F12" s="161"/>
      <c r="G12" s="161"/>
      <c r="H12" s="161" t="s">
        <v>1044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>
        <v>2682791.65</v>
      </c>
      <c r="AE12" s="162"/>
      <c r="AF12" s="162"/>
      <c r="AG12" s="162"/>
      <c r="AH12" s="162"/>
      <c r="AI12" s="162"/>
      <c r="AJ12" s="162"/>
      <c r="AK12" s="81" t="s">
        <v>1042</v>
      </c>
      <c r="AL12" s="81">
        <f>'KOI012 - SO 102 Stavební ...'!M18</f>
        <v>2632798.6654300005</v>
      </c>
      <c r="AM12" s="81">
        <f>'KOI012 - SO 102 Stavební ...'!N18</f>
        <v>3290664.3150900011</v>
      </c>
      <c r="AN12" s="81">
        <f t="shared" si="1"/>
        <v>657865.64966000058</v>
      </c>
      <c r="AO12" s="81">
        <f>-'KOI012 - SO 102 Stavební ...'!L47-'KOI012 - SO 102 Stavební ...'!L48</f>
        <v>-1062280.08</v>
      </c>
      <c r="AP12" s="81"/>
      <c r="AQ12" s="81">
        <f>'KOI012 - SO 102 Stavební ...'!P18</f>
        <v>2526444.8392805001</v>
      </c>
      <c r="AR12" s="81">
        <f>'KOI012 - SO 102 Stavební ...'!R18</f>
        <v>0</v>
      </c>
      <c r="AS12" s="81">
        <f>'KOI012 - SO 102 Stavební ...'!T18</f>
        <v>2526444.8392805001</v>
      </c>
      <c r="AT12" s="87">
        <f t="shared" ref="AT12:AT25" si="2">AL12-AS12</f>
        <v>106353.82614950044</v>
      </c>
      <c r="AU12" s="6" t="s">
        <v>6</v>
      </c>
      <c r="AV12" s="81">
        <f t="shared" ref="AV12:AV25" si="3">AL12-AT12-AS12</f>
        <v>0</v>
      </c>
      <c r="AW12" s="81"/>
    </row>
    <row r="13" spans="1:49" s="45" customFormat="1" ht="16.5" customHeight="1" x14ac:dyDescent="0.35">
      <c r="A13" s="55" t="s">
        <v>1039</v>
      </c>
      <c r="B13" s="46"/>
      <c r="C13" s="35"/>
      <c r="D13" s="161" t="s">
        <v>1045</v>
      </c>
      <c r="E13" s="161"/>
      <c r="F13" s="161"/>
      <c r="G13" s="161"/>
      <c r="H13" s="161" t="s">
        <v>1046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2">
        <v>329929.15000000002</v>
      </c>
      <c r="AE13" s="162"/>
      <c r="AF13" s="162"/>
      <c r="AG13" s="162"/>
      <c r="AH13" s="162"/>
      <c r="AI13" s="162"/>
      <c r="AJ13" s="162"/>
      <c r="AK13" s="81" t="s">
        <v>1042</v>
      </c>
      <c r="AL13" s="81">
        <f>'KOI013 - SO 301 Odvodnění...'!K18</f>
        <v>329929.15000000002</v>
      </c>
      <c r="AM13" s="81">
        <f>'KOI013 - SO 301 Odvodnění...'!L18</f>
        <v>329929.14757000003</v>
      </c>
      <c r="AN13" s="81">
        <v>0</v>
      </c>
      <c r="AO13" s="81"/>
      <c r="AP13" s="81"/>
      <c r="AQ13" s="81">
        <f>'KOI013 - SO 301 Odvodnění...'!N18</f>
        <v>329929.13357000001</v>
      </c>
      <c r="AR13" s="81">
        <f>'KOI013 - SO 301 Odvodnění...'!P18</f>
        <v>0</v>
      </c>
      <c r="AS13" s="81">
        <f>'KOI013 - SO 301 Odvodnění...'!R18</f>
        <v>329929.13357000001</v>
      </c>
      <c r="AT13" s="87">
        <f t="shared" si="2"/>
        <v>1.6430000017862767E-2</v>
      </c>
      <c r="AU13" s="6" t="s">
        <v>6</v>
      </c>
      <c r="AV13" s="81">
        <f t="shared" si="3"/>
        <v>0</v>
      </c>
    </row>
    <row r="14" spans="1:49" s="45" customFormat="1" ht="16.5" customHeight="1" x14ac:dyDescent="0.35">
      <c r="A14" s="55" t="s">
        <v>1039</v>
      </c>
      <c r="B14" s="46"/>
      <c r="C14" s="35"/>
      <c r="D14" s="161" t="s">
        <v>1047</v>
      </c>
      <c r="E14" s="161"/>
      <c r="F14" s="161"/>
      <c r="G14" s="161"/>
      <c r="H14" s="161" t="s">
        <v>1048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2">
        <v>711636.85</v>
      </c>
      <c r="AE14" s="162"/>
      <c r="AF14" s="162"/>
      <c r="AG14" s="162"/>
      <c r="AH14" s="162"/>
      <c r="AI14" s="162"/>
      <c r="AJ14" s="162"/>
      <c r="AK14" s="81" t="s">
        <v>1042</v>
      </c>
      <c r="AL14" s="81">
        <f>'SO 302 Retenční nádrže'!K18</f>
        <v>711636.85</v>
      </c>
      <c r="AM14" s="81">
        <f>'SO 302 Retenční nádrže'!L18</f>
        <v>711636.84792999993</v>
      </c>
      <c r="AN14" s="81">
        <f t="shared" si="1"/>
        <v>-2.0700000459328294E-3</v>
      </c>
      <c r="AO14" s="81"/>
      <c r="AP14" s="81"/>
      <c r="AQ14" s="81">
        <f>'SO 302 Retenční nádrže'!O18</f>
        <v>644471.31641000009</v>
      </c>
      <c r="AR14" s="81">
        <f>'SO 302 Retenční nádrže'!Q18</f>
        <v>53656.161950000002</v>
      </c>
      <c r="AS14" s="81">
        <f>'SO 302 Retenční nádrže'!S18</f>
        <v>698127.47835999995</v>
      </c>
      <c r="AT14" s="87">
        <f t="shared" si="2"/>
        <v>13509.371640000027</v>
      </c>
      <c r="AU14" s="6" t="s">
        <v>6</v>
      </c>
      <c r="AV14" s="81">
        <f t="shared" si="3"/>
        <v>0</v>
      </c>
    </row>
    <row r="15" spans="1:49" s="45" customFormat="1" ht="16.5" customHeight="1" x14ac:dyDescent="0.35">
      <c r="A15" s="55" t="s">
        <v>1039</v>
      </c>
      <c r="B15" s="46"/>
      <c r="C15" s="35"/>
      <c r="D15" s="161" t="s">
        <v>1049</v>
      </c>
      <c r="E15" s="161"/>
      <c r="F15" s="161"/>
      <c r="G15" s="161"/>
      <c r="H15" s="161" t="s">
        <v>1050</v>
      </c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>
        <v>794310.35</v>
      </c>
      <c r="AE15" s="162"/>
      <c r="AF15" s="162"/>
      <c r="AG15" s="162"/>
      <c r="AH15" s="162"/>
      <c r="AI15" s="162"/>
      <c r="AJ15" s="162"/>
      <c r="AK15" s="81" t="s">
        <v>1042</v>
      </c>
      <c r="AL15" s="81">
        <f>'SO 303 Retenční nádrže u sokolo'!K18</f>
        <v>794310.35000000021</v>
      </c>
      <c r="AM15" s="81">
        <f>'SO 303 Retenční nádrže u sokolo'!L18</f>
        <v>794310.35225999996</v>
      </c>
      <c r="AN15" s="81">
        <f t="shared" si="1"/>
        <v>2.2599997464567423E-3</v>
      </c>
      <c r="AO15" s="81"/>
      <c r="AP15" s="81"/>
      <c r="AQ15" s="81">
        <f>'SO 303 Retenční nádrže u sokolo'!N18</f>
        <v>714097.06179999991</v>
      </c>
      <c r="AR15" s="81">
        <f>'SO 303 Retenční nádrže u sokolo'!P18</f>
        <v>79729.280460000009</v>
      </c>
      <c r="AS15" s="81">
        <f>'SO 303 Retenční nádrže u sokolo'!R18</f>
        <v>793826.34225999995</v>
      </c>
      <c r="AT15" s="87">
        <f t="shared" si="2"/>
        <v>484.00774000026286</v>
      </c>
      <c r="AU15" s="6" t="s">
        <v>6</v>
      </c>
      <c r="AV15" s="81">
        <f t="shared" si="3"/>
        <v>0</v>
      </c>
    </row>
    <row r="16" spans="1:49" s="45" customFormat="1" ht="23.25" customHeight="1" x14ac:dyDescent="0.35">
      <c r="A16" s="55" t="s">
        <v>1039</v>
      </c>
      <c r="B16" s="46"/>
      <c r="C16" s="35"/>
      <c r="D16" s="161" t="s">
        <v>1051</v>
      </c>
      <c r="E16" s="161"/>
      <c r="F16" s="161"/>
      <c r="G16" s="161"/>
      <c r="H16" s="161" t="s">
        <v>1052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2">
        <v>249402.13</v>
      </c>
      <c r="AE16" s="162"/>
      <c r="AF16" s="162"/>
      <c r="AG16" s="162"/>
      <c r="AH16" s="162"/>
      <c r="AI16" s="162"/>
      <c r="AJ16" s="162"/>
      <c r="AK16" s="81" t="s">
        <v>1042</v>
      </c>
      <c r="AL16" s="81">
        <f>'SO 701 Objekty pozemních staveb'!K18</f>
        <v>249402.13</v>
      </c>
      <c r="AM16" s="81">
        <f>'SO 701 Objekty pozemních staveb'!L18</f>
        <v>249402.13419000001</v>
      </c>
      <c r="AN16" s="81">
        <f t="shared" si="1"/>
        <v>4.19000000692904E-3</v>
      </c>
      <c r="AO16" s="81"/>
      <c r="AP16" s="81"/>
      <c r="AQ16" s="81">
        <f>'SO 701 Objekty pozemních staveb'!N18</f>
        <v>249402.11419000002</v>
      </c>
      <c r="AR16" s="81">
        <f>'SO 701 Objekty pozemních staveb'!P18</f>
        <v>0</v>
      </c>
      <c r="AS16" s="81">
        <f>'SO 701 Objekty pozemních staveb'!R18</f>
        <v>249402.11419000002</v>
      </c>
      <c r="AT16" s="87">
        <f t="shared" si="2"/>
        <v>1.5809999982593581E-2</v>
      </c>
      <c r="AU16" s="6" t="s">
        <v>6</v>
      </c>
      <c r="AV16" s="81">
        <f t="shared" si="3"/>
        <v>0</v>
      </c>
    </row>
    <row r="17" spans="1:48" s="45" customFormat="1" ht="23.25" customHeight="1" x14ac:dyDescent="0.35">
      <c r="A17" s="55" t="s">
        <v>1039</v>
      </c>
      <c r="B17" s="46"/>
      <c r="C17" s="35"/>
      <c r="D17" s="161" t="s">
        <v>1053</v>
      </c>
      <c r="E17" s="161"/>
      <c r="F17" s="161"/>
      <c r="G17" s="161"/>
      <c r="H17" s="161" t="s">
        <v>1054</v>
      </c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2">
        <v>1296008.97</v>
      </c>
      <c r="AE17" s="162"/>
      <c r="AF17" s="162"/>
      <c r="AG17" s="162"/>
      <c r="AH17" s="162"/>
      <c r="AI17" s="162"/>
      <c r="AJ17" s="162"/>
      <c r="AK17" s="81" t="s">
        <v>1042</v>
      </c>
      <c r="AL17" s="81">
        <f>'SO 720 Objekty pozemních staveb'!K18</f>
        <v>1296008.9700000002</v>
      </c>
      <c r="AM17" s="81">
        <f>'SO 720 Objekty pozemních staveb'!L18</f>
        <v>1434888.2074000002</v>
      </c>
      <c r="AN17" s="81">
        <f t="shared" si="1"/>
        <v>138879.23739999998</v>
      </c>
      <c r="AO17" s="81"/>
      <c r="AP17" s="81"/>
      <c r="AQ17" s="81">
        <f>'SO 720 Objekty pozemních staveb'!N18</f>
        <v>1061221.3080000002</v>
      </c>
      <c r="AR17" s="81">
        <f>'SO 720 Objekty pozemních staveb'!P18</f>
        <v>0</v>
      </c>
      <c r="AS17" s="81">
        <f>'SO 720 Objekty pozemních staveb'!R18</f>
        <v>1061221.3080000002</v>
      </c>
      <c r="AT17" s="87">
        <f t="shared" si="2"/>
        <v>234787.66200000001</v>
      </c>
      <c r="AU17" s="6" t="s">
        <v>6</v>
      </c>
      <c r="AV17" s="81">
        <f t="shared" si="3"/>
        <v>0</v>
      </c>
    </row>
    <row r="18" spans="1:48" s="45" customFormat="1" ht="16.5" customHeight="1" x14ac:dyDescent="0.35">
      <c r="A18" s="55" t="s">
        <v>1039</v>
      </c>
      <c r="B18" s="46"/>
      <c r="C18" s="35"/>
      <c r="D18" s="161" t="s">
        <v>1055</v>
      </c>
      <c r="E18" s="161"/>
      <c r="F18" s="161"/>
      <c r="G18" s="161"/>
      <c r="H18" s="161" t="s">
        <v>1056</v>
      </c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2">
        <v>1376703.09</v>
      </c>
      <c r="AE18" s="162"/>
      <c r="AF18" s="162"/>
      <c r="AG18" s="162"/>
      <c r="AH18" s="162"/>
      <c r="AI18" s="162"/>
      <c r="AJ18" s="162"/>
      <c r="AK18" s="81" t="s">
        <v>1042</v>
      </c>
      <c r="AL18" s="81">
        <f>'SO 801 Sadové úpravy'!K18</f>
        <v>1376703.09</v>
      </c>
      <c r="AM18" s="81">
        <f>'SO 801 Sadové úpravy'!L18</f>
        <v>1376703.09354</v>
      </c>
      <c r="AN18" s="81">
        <f t="shared" si="1"/>
        <v>3.5399999469518661E-3</v>
      </c>
      <c r="AO18" s="81"/>
      <c r="AP18" s="81"/>
      <c r="AQ18" s="81">
        <f>'SO 801 Sadové úpravy'!O18</f>
        <v>309499.19804999995</v>
      </c>
      <c r="AR18" s="81">
        <f>'SO 801 Sadové úpravy'!Q18</f>
        <v>739682.02257679997</v>
      </c>
      <c r="AS18" s="81">
        <f>'SO 801 Sadové úpravy'!S18</f>
        <v>920119.80162799999</v>
      </c>
      <c r="AT18" s="87">
        <f t="shared" si="2"/>
        <v>456583.2883720001</v>
      </c>
      <c r="AU18" s="6" t="s">
        <v>6</v>
      </c>
      <c r="AV18" s="81">
        <f t="shared" si="3"/>
        <v>0</v>
      </c>
    </row>
    <row r="19" spans="1:48" s="45" customFormat="1" ht="23.25" customHeight="1" x14ac:dyDescent="0.35">
      <c r="A19" s="55" t="s">
        <v>1039</v>
      </c>
      <c r="B19" s="46"/>
      <c r="C19" s="35"/>
      <c r="D19" s="161" t="s">
        <v>1057</v>
      </c>
      <c r="E19" s="161"/>
      <c r="F19" s="161"/>
      <c r="G19" s="161"/>
      <c r="H19" s="161" t="s">
        <v>1044</v>
      </c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71">
        <v>704898.27</v>
      </c>
      <c r="AE19" s="171"/>
      <c r="AF19" s="171"/>
      <c r="AG19" s="171"/>
      <c r="AH19" s="171"/>
      <c r="AI19" s="171"/>
      <c r="AJ19" s="171"/>
      <c r="AK19" s="81" t="s">
        <v>1042</v>
      </c>
      <c r="AL19" s="81">
        <f>'SO 102 Stavební úpravy místní k'!K18</f>
        <v>704898.2699999999</v>
      </c>
      <c r="AM19" s="81">
        <f>'SO 102 Stavební úpravy místní k'!L18</f>
        <v>721508.22490999987</v>
      </c>
      <c r="AN19" s="81">
        <f t="shared" si="1"/>
        <v>16609.954909999971</v>
      </c>
      <c r="AO19" s="81"/>
      <c r="AP19" s="81"/>
      <c r="AQ19" s="81">
        <f>'SO 102 Stavební úpravy místní k'!N18</f>
        <v>667402.52990999992</v>
      </c>
      <c r="AR19" s="81">
        <f>'SO 102 Stavební úpravy místní k'!P18</f>
        <v>0</v>
      </c>
      <c r="AS19" s="81">
        <f>'SO 102 Stavební úpravy místní k'!R18</f>
        <v>667402.52990999992</v>
      </c>
      <c r="AT19" s="87">
        <f t="shared" si="2"/>
        <v>37495.740089999977</v>
      </c>
      <c r="AU19" s="6" t="s">
        <v>6</v>
      </c>
      <c r="AV19" s="81">
        <f t="shared" si="3"/>
        <v>0</v>
      </c>
    </row>
    <row r="20" spans="1:48" s="45" customFormat="1" ht="22" customHeight="1" x14ac:dyDescent="0.35">
      <c r="A20" s="55" t="s">
        <v>1039</v>
      </c>
      <c r="B20" s="46"/>
      <c r="C20" s="35"/>
      <c r="D20" s="35"/>
      <c r="E20" s="161" t="s">
        <v>1058</v>
      </c>
      <c r="F20" s="161"/>
      <c r="G20" s="161"/>
      <c r="H20" s="35"/>
      <c r="I20" s="161" t="s">
        <v>1059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71">
        <v>589958.73</v>
      </c>
      <c r="AE20" s="171"/>
      <c r="AF20" s="171"/>
      <c r="AG20" s="171"/>
      <c r="AH20" s="171"/>
      <c r="AI20" s="171"/>
      <c r="AJ20" s="171"/>
      <c r="AK20" s="81" t="s">
        <v>1042</v>
      </c>
      <c r="AL20" s="81">
        <f>'Silnoproudá elektrotechnika'!K20</f>
        <v>589958.73</v>
      </c>
      <c r="AM20" s="81">
        <f>'Silnoproudá elektrotechnika'!L20</f>
        <v>836417.46000000008</v>
      </c>
      <c r="AN20" s="81">
        <f t="shared" si="1"/>
        <v>246458.7300000001</v>
      </c>
      <c r="AO20" s="81">
        <f>-'Silnoproudá elektrotechnika'!K23-'Silnoproudá elektrotechnika'!K24-'Silnoproudá elektrotechnika'!K25-'Silnoproudá elektrotechnika'!K26-'Silnoproudá elektrotechnika'!K27-'Silnoproudá elektrotechnika'!J60-'Silnoproudá elektrotechnika'!J62</f>
        <v>-290710.39</v>
      </c>
      <c r="AP20" s="81"/>
      <c r="AQ20" s="81">
        <f>'Silnoproudá elektrotechnika'!N20</f>
        <v>233696.3</v>
      </c>
      <c r="AR20" s="81">
        <f>'Silnoproudá elektrotechnika'!P20</f>
        <v>33790.160000000003</v>
      </c>
      <c r="AS20" s="81">
        <f>'Silnoproudá elektrotechnika'!R20</f>
        <v>267486.45999999996</v>
      </c>
      <c r="AT20" s="87">
        <f t="shared" si="2"/>
        <v>322472.27</v>
      </c>
      <c r="AU20" s="6" t="s">
        <v>6</v>
      </c>
      <c r="AV20" s="81">
        <f t="shared" si="3"/>
        <v>0</v>
      </c>
    </row>
    <row r="21" spans="1:48" s="45" customFormat="1" ht="16.5" customHeight="1" x14ac:dyDescent="0.35">
      <c r="A21" s="55" t="s">
        <v>1039</v>
      </c>
      <c r="B21" s="46"/>
      <c r="C21" s="35"/>
      <c r="D21" s="35"/>
      <c r="E21" s="161" t="s">
        <v>1060</v>
      </c>
      <c r="F21" s="161"/>
      <c r="G21" s="161"/>
      <c r="H21" s="35"/>
      <c r="I21" s="161" t="s">
        <v>1061</v>
      </c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71">
        <v>40125.15</v>
      </c>
      <c r="AE21" s="171"/>
      <c r="AF21" s="171"/>
      <c r="AG21" s="171"/>
      <c r="AH21" s="171"/>
      <c r="AI21" s="171"/>
      <c r="AJ21" s="171"/>
      <c r="AK21" s="81" t="s">
        <v>1042</v>
      </c>
      <c r="AL21" s="81">
        <f>'Slaboproudá elektrotechnika'!K20</f>
        <v>40125.15</v>
      </c>
      <c r="AM21" s="81">
        <f>'Slaboproudá elektrotechnika'!L20</f>
        <v>40125.15</v>
      </c>
      <c r="AN21" s="81">
        <f t="shared" si="1"/>
        <v>0</v>
      </c>
      <c r="AO21" s="81"/>
      <c r="AP21" s="81"/>
      <c r="AQ21" s="81">
        <f>'Slaboproudá elektrotechnika'!N20</f>
        <v>40125.15</v>
      </c>
      <c r="AR21" s="81">
        <f>'Slaboproudá elektrotechnika'!P20</f>
        <v>0</v>
      </c>
      <c r="AS21" s="81">
        <f>'Slaboproudá elektrotechnika'!R20</f>
        <v>40125.15</v>
      </c>
      <c r="AT21" s="87">
        <f t="shared" si="2"/>
        <v>0</v>
      </c>
      <c r="AU21" s="6" t="s">
        <v>6</v>
      </c>
      <c r="AV21" s="81">
        <f t="shared" si="3"/>
        <v>0</v>
      </c>
    </row>
    <row r="22" spans="1:48" s="45" customFormat="1" ht="23.25" customHeight="1" x14ac:dyDescent="0.35">
      <c r="A22" s="55" t="s">
        <v>1039</v>
      </c>
      <c r="B22" s="46"/>
      <c r="C22" s="35"/>
      <c r="D22" s="161" t="s">
        <v>1062</v>
      </c>
      <c r="E22" s="161"/>
      <c r="F22" s="161"/>
      <c r="G22" s="161"/>
      <c r="H22" s="161" t="s">
        <v>1052</v>
      </c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71">
        <v>190501.54</v>
      </c>
      <c r="AE22" s="171"/>
      <c r="AF22" s="171"/>
      <c r="AG22" s="171"/>
      <c r="AH22" s="171"/>
      <c r="AI22" s="171"/>
      <c r="AJ22" s="171"/>
      <c r="AK22" s="81" t="s">
        <v>1042</v>
      </c>
      <c r="AL22" s="81">
        <f>'SO 701 Objekty podium'!K18</f>
        <v>190501.53999999998</v>
      </c>
      <c r="AM22" s="81">
        <f>'SO 701 Objekty podium'!L18</f>
        <v>190501.53999999998</v>
      </c>
      <c r="AN22" s="81">
        <f t="shared" si="1"/>
        <v>0</v>
      </c>
      <c r="AO22" s="81"/>
      <c r="AP22" s="81"/>
      <c r="AQ22" s="81">
        <f>'SO 701 Objekty podium'!N18</f>
        <v>0</v>
      </c>
      <c r="AR22" s="81">
        <f>'SO 701 Objekty podium'!P18</f>
        <v>31054.54</v>
      </c>
      <c r="AS22" s="81">
        <f>'SO 701 Objekty podium'!R18</f>
        <v>31054.54</v>
      </c>
      <c r="AT22" s="87">
        <f t="shared" si="2"/>
        <v>159446.99999999997</v>
      </c>
      <c r="AU22" s="6" t="s">
        <v>6</v>
      </c>
      <c r="AV22" s="81">
        <f t="shared" si="3"/>
        <v>0</v>
      </c>
    </row>
    <row r="23" spans="1:48" s="45" customFormat="1" ht="16.5" customHeight="1" x14ac:dyDescent="0.35">
      <c r="A23" s="55" t="s">
        <v>1039</v>
      </c>
      <c r="B23" s="46"/>
      <c r="C23" s="35"/>
      <c r="D23" s="161" t="s">
        <v>1063</v>
      </c>
      <c r="E23" s="161"/>
      <c r="F23" s="161"/>
      <c r="G23" s="161"/>
      <c r="H23" s="161" t="s">
        <v>29</v>
      </c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75">
        <v>889124.48</v>
      </c>
      <c r="AE23" s="175"/>
      <c r="AF23" s="175"/>
      <c r="AG23" s="175"/>
      <c r="AH23" s="175"/>
      <c r="AI23" s="175"/>
      <c r="AJ23" s="175"/>
      <c r="AK23" s="81" t="s">
        <v>1042</v>
      </c>
      <c r="AL23" s="81">
        <f>VRN!J18</f>
        <v>889124.4800000001</v>
      </c>
      <c r="AM23" s="81">
        <f>AL23</f>
        <v>889124.4800000001</v>
      </c>
      <c r="AN23" s="81">
        <f t="shared" si="1"/>
        <v>0</v>
      </c>
      <c r="AO23" s="81"/>
      <c r="AP23" s="81"/>
      <c r="AQ23" s="81">
        <f>VRN!L18</f>
        <v>597979.79799999995</v>
      </c>
      <c r="AR23" s="81">
        <f>VRN!N18</f>
        <v>8022.3559999999998</v>
      </c>
      <c r="AS23" s="81">
        <f>VRN!P18</f>
        <v>606002.15399999998</v>
      </c>
      <c r="AT23" s="87">
        <f t="shared" si="2"/>
        <v>283122.32600000012</v>
      </c>
      <c r="AU23" s="6" t="s">
        <v>6</v>
      </c>
      <c r="AV23" s="81">
        <f t="shared" si="3"/>
        <v>0</v>
      </c>
    </row>
    <row r="24" spans="1:48" s="5" customFormat="1" ht="30" hidden="1" customHeight="1" x14ac:dyDescent="0.35">
      <c r="B24" s="4"/>
      <c r="AN24" s="81">
        <f t="shared" si="1"/>
        <v>0</v>
      </c>
      <c r="AO24" s="81"/>
      <c r="AP24" s="81"/>
      <c r="AT24" s="87">
        <f t="shared" si="2"/>
        <v>0</v>
      </c>
      <c r="AV24" s="81">
        <f t="shared" si="3"/>
        <v>0</v>
      </c>
    </row>
    <row r="25" spans="1:48" s="45" customFormat="1" ht="16.5" customHeight="1" x14ac:dyDescent="0.35">
      <c r="A25" s="55"/>
      <c r="B25" s="46"/>
      <c r="C25" s="35"/>
      <c r="D25" s="161"/>
      <c r="E25" s="161"/>
      <c r="F25" s="161"/>
      <c r="G25" s="161"/>
      <c r="H25" s="161" t="s">
        <v>1118</v>
      </c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75"/>
      <c r="AE25" s="175"/>
      <c r="AF25" s="175"/>
      <c r="AG25" s="175"/>
      <c r="AH25" s="175"/>
      <c r="AI25" s="175"/>
      <c r="AJ25" s="175"/>
      <c r="AK25" s="81"/>
      <c r="AL25" s="81">
        <f>VCP!J16</f>
        <v>507682.69</v>
      </c>
      <c r="AM25" s="81">
        <f>AL25</f>
        <v>507682.69</v>
      </c>
      <c r="AN25" s="81">
        <f>AM25-AL25</f>
        <v>0</v>
      </c>
      <c r="AO25" s="81"/>
      <c r="AP25" s="81"/>
      <c r="AQ25" s="81">
        <f>VCP!L16</f>
        <v>507682.685215</v>
      </c>
      <c r="AR25" s="81">
        <f>VCP!N16</f>
        <v>0</v>
      </c>
      <c r="AS25" s="81">
        <f>VCP!P16</f>
        <v>507682.685215</v>
      </c>
      <c r="AT25" s="87">
        <f t="shared" si="2"/>
        <v>4.7849999973550439E-3</v>
      </c>
      <c r="AU25" s="6"/>
      <c r="AV25" s="81">
        <f t="shared" si="3"/>
        <v>0</v>
      </c>
    </row>
    <row r="27" spans="1:48" x14ac:dyDescent="0.35">
      <c r="AD27" s="173">
        <f>AD10*0.3</f>
        <v>3523493.9939999995</v>
      </c>
      <c r="AE27" s="174"/>
      <c r="AF27" s="174"/>
      <c r="AG27" s="174"/>
      <c r="AH27" s="174"/>
      <c r="AI27" s="174"/>
      <c r="AJ27" s="174"/>
      <c r="AP27" s="136">
        <f>AP10-AO10</f>
        <v>3455745.4615300032</v>
      </c>
    </row>
    <row r="28" spans="1:48" x14ac:dyDescent="0.35">
      <c r="AL28" s="136">
        <f>AL10-AD10</f>
        <v>457689.70543000102</v>
      </c>
      <c r="AM28" s="136">
        <f>AM10-AL10</f>
        <v>1645065.286100002</v>
      </c>
      <c r="AN28" s="136">
        <f>SUM(AN11:AN25)</f>
        <v>1645065.2885299996</v>
      </c>
      <c r="AO28" s="136"/>
      <c r="AP28" s="136"/>
    </row>
    <row r="29" spans="1:48" x14ac:dyDescent="0.35">
      <c r="AM29" s="136"/>
    </row>
  </sheetData>
  <mergeCells count="52">
    <mergeCell ref="AD27:AJ27"/>
    <mergeCell ref="D25:G25"/>
    <mergeCell ref="H25:AC25"/>
    <mergeCell ref="AD25:AJ25"/>
    <mergeCell ref="AQ7:AQ8"/>
    <mergeCell ref="AD23:AJ23"/>
    <mergeCell ref="C8:F8"/>
    <mergeCell ref="D14:G14"/>
    <mergeCell ref="D12:G12"/>
    <mergeCell ref="D11:G11"/>
    <mergeCell ref="D13:G13"/>
    <mergeCell ref="D17:G17"/>
    <mergeCell ref="D18:G18"/>
    <mergeCell ref="H18:AC18"/>
    <mergeCell ref="AD18:AJ18"/>
    <mergeCell ref="H15:AC15"/>
    <mergeCell ref="I4:AJ4"/>
    <mergeCell ref="AD19:AJ19"/>
    <mergeCell ref="AD20:AJ20"/>
    <mergeCell ref="AD21:AJ21"/>
    <mergeCell ref="AD22:AJ22"/>
    <mergeCell ref="AD10:AJ10"/>
    <mergeCell ref="H13:AC13"/>
    <mergeCell ref="AD13:AJ13"/>
    <mergeCell ref="H14:AC14"/>
    <mergeCell ref="AD14:AJ14"/>
    <mergeCell ref="H11:AC11"/>
    <mergeCell ref="AD11:AJ11"/>
    <mergeCell ref="H12:AC12"/>
    <mergeCell ref="AD12:AJ12"/>
    <mergeCell ref="H17:AC17"/>
    <mergeCell ref="AD17:AJ17"/>
    <mergeCell ref="AR7:AR8"/>
    <mergeCell ref="AS7:AS8"/>
    <mergeCell ref="AT7:AT8"/>
    <mergeCell ref="H8:AC8"/>
    <mergeCell ref="AD8:AJ8"/>
    <mergeCell ref="AD15:AJ15"/>
    <mergeCell ref="D16:G16"/>
    <mergeCell ref="H16:AC16"/>
    <mergeCell ref="AD16:AJ16"/>
    <mergeCell ref="D15:G15"/>
    <mergeCell ref="E20:G20"/>
    <mergeCell ref="I20:AC20"/>
    <mergeCell ref="D19:G19"/>
    <mergeCell ref="H19:AC19"/>
    <mergeCell ref="D23:G23"/>
    <mergeCell ref="H23:AC23"/>
    <mergeCell ref="E21:G21"/>
    <mergeCell ref="I21:AC21"/>
    <mergeCell ref="D22:G22"/>
    <mergeCell ref="H22:AC22"/>
  </mergeCells>
  <phoneticPr fontId="36" type="noConversion"/>
  <hyperlinks>
    <hyperlink ref="A11" location="'KOI011 - SO 101 Veřejné p...'!C2" display="/" xr:uid="{FFDC2261-AB66-46CC-917D-157D4BC4A4EF}"/>
    <hyperlink ref="A12" location="'KOI012 - SO 102 Stavební ...'!C2" display="/" xr:uid="{F9CAF6DD-80C0-45A1-A9FE-6C67AC3EB326}"/>
    <hyperlink ref="A13" location="'KOI013 - SO 301 Odvodnění...'!C2" display="/" xr:uid="{67E81A3C-7DB2-42DF-8D3A-9E9495D12553}"/>
    <hyperlink ref="A14" location="'KOI014 - SO 302 Retenční ...'!C2" display="/" xr:uid="{A9B6E47B-33F4-4B0C-90E4-6484AD56B678}"/>
    <hyperlink ref="A15" location="'KOI015 - SO 303 Retenční ...'!C2" display="/" xr:uid="{6DE95C9F-B73C-4FAE-BC7F-289A612F3F44}"/>
    <hyperlink ref="A16" location="'KOI017 - SO 701 Objekty p...'!C2" display="/" xr:uid="{E9645591-891A-4FAC-A00F-FDA1472AA54A}"/>
    <hyperlink ref="A17" location="'KOI018 - SO 720 Objekty p...'!C2" display="/" xr:uid="{B96932D1-6088-4904-910B-5677D69F4572}"/>
    <hyperlink ref="A18" location="'KOI019 - SO 801 Sadové úp...'!C2" display="/" xr:uid="{83FA2F93-9CAF-4F28-9077-91F2E9A0D3C8}"/>
    <hyperlink ref="A19" location="'KOI021 - SO 102 Stavební ...'!C2" display="/" xr:uid="{4BD42DF7-8FCC-404F-AA23-387C58993C3A}"/>
    <hyperlink ref="A20" location="'KOI0221 - Silnoproudá ele...'!C2" display="/" xr:uid="{67924EBD-73BD-4F94-B909-C47E1EBC221A}"/>
    <hyperlink ref="A21" location="'KOI0222 - Slaboproudá ele...'!C2" display="/" xr:uid="{C4B13D85-B0CA-41FE-A23A-AB921933BB3E}"/>
    <hyperlink ref="A22" location="'KOI023 - SO 701 Objekty p...'!C2" display="/" xr:uid="{7BAF11E7-6062-4B60-B3B8-C4ED3441A06D}"/>
    <hyperlink ref="A23" location="'KOI031 - Vedlejší rozpočt...'!C2" display="/" xr:uid="{E8F2B5D8-161B-4815-8D04-EBF1500CBA15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F029-8A68-48F3-8A99-FE266BBDE709}">
  <sheetPr>
    <pageSetUpPr fitToPage="1"/>
  </sheetPr>
  <dimension ref="B2:V48"/>
  <sheetViews>
    <sheetView view="pageBreakPreview" zoomScaleNormal="100" zoomScaleSheetLayoutView="100" workbookViewId="0">
      <selection activeCell="H17" sqref="H17:L17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.7265625" customWidth="1"/>
    <col min="16" max="16" width="12.36328125" customWidth="1"/>
    <col min="18" max="18" width="13.36328125" customWidth="1"/>
    <col min="21" max="21" width="13.2695312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67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201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/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</row>
    <row r="16" spans="2:22" s="5" customFormat="1" ht="26.5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SUM(K19,K32,K39,K42,K46)</f>
        <v>704898.2699999999</v>
      </c>
      <c r="L18" s="21">
        <f>SUM(L19,L32,L39,L42,L46)</f>
        <v>721508.22490999987</v>
      </c>
      <c r="M18" s="4"/>
      <c r="N18" s="21">
        <f>SUM(N19,N32,N39,N42,N46)</f>
        <v>667402.52990999992</v>
      </c>
      <c r="O18" s="63"/>
      <c r="P18" s="21">
        <f>SUM(P19,P32,P39,P42,P46)</f>
        <v>0</v>
      </c>
      <c r="Q18" s="64"/>
      <c r="R18" s="21">
        <f>SUM(R19,R32,R39,R42,R46)</f>
        <v>667402.52990999992</v>
      </c>
      <c r="S18" s="64"/>
      <c r="T18" s="63"/>
      <c r="U18" s="21">
        <f>SUM(U19,U32,U39,U42,U46)</f>
        <v>37495.739999999969</v>
      </c>
    </row>
    <row r="19" spans="2:22" s="23" customFormat="1" ht="23" customHeight="1" x14ac:dyDescent="0.25">
      <c r="B19" s="22"/>
      <c r="D19" s="24" t="s">
        <v>27</v>
      </c>
      <c r="E19" s="36" t="s">
        <v>31</v>
      </c>
      <c r="F19" s="36" t="s">
        <v>204</v>
      </c>
      <c r="J19" s="26"/>
      <c r="K19" s="37">
        <f>SUM(K20:K31)</f>
        <v>152531.32999999999</v>
      </c>
      <c r="L19" s="37">
        <f>SUM(L20:L31)</f>
        <v>152531.32460000002</v>
      </c>
      <c r="M19" s="65"/>
      <c r="N19" s="37">
        <f>SUM(N20:N31)</f>
        <v>152531.32460000002</v>
      </c>
      <c r="O19" s="67"/>
      <c r="P19" s="37">
        <f>SUM(P20:P31)</f>
        <v>0</v>
      </c>
      <c r="Q19" s="68"/>
      <c r="R19" s="37">
        <f>SUM(R20:R31)</f>
        <v>152531.32460000002</v>
      </c>
      <c r="S19" s="68"/>
      <c r="T19" s="67"/>
      <c r="U19" s="37">
        <f>SUM(U20:U31)</f>
        <v>0</v>
      </c>
      <c r="V19" s="69"/>
    </row>
    <row r="20" spans="2:22" s="5" customFormat="1" ht="24.15" customHeight="1" x14ac:dyDescent="0.35">
      <c r="B20" s="4"/>
      <c r="C20" s="28" t="s">
        <v>31</v>
      </c>
      <c r="D20" s="28" t="s">
        <v>32</v>
      </c>
      <c r="E20" s="29" t="s">
        <v>205</v>
      </c>
      <c r="F20" s="30" t="s">
        <v>206</v>
      </c>
      <c r="G20" s="31" t="s">
        <v>207</v>
      </c>
      <c r="H20" s="32">
        <v>27.36</v>
      </c>
      <c r="I20" s="32">
        <v>27.36</v>
      </c>
      <c r="J20" s="33">
        <v>347.64</v>
      </c>
      <c r="K20" s="34">
        <f t="shared" ref="K20:K31" si="0">ROUND(J20*H20,2)</f>
        <v>9511.43</v>
      </c>
      <c r="L20" s="90">
        <f>I20*J20</f>
        <v>9511.4303999999993</v>
      </c>
      <c r="M20" s="70">
        <v>27.36</v>
      </c>
      <c r="N20" s="71">
        <f>M20*J20</f>
        <v>9511.4303999999993</v>
      </c>
      <c r="O20" s="72"/>
      <c r="P20" s="73">
        <f>O20*J20</f>
        <v>0</v>
      </c>
      <c r="Q20" s="70">
        <f>O20+M20</f>
        <v>27.36</v>
      </c>
      <c r="R20" s="74">
        <f>Q20*J20</f>
        <v>9511.4303999999993</v>
      </c>
      <c r="S20" s="75">
        <f>R20/K20</f>
        <v>1.0000000420546646</v>
      </c>
      <c r="T20" s="76">
        <f>H20-Q20</f>
        <v>0</v>
      </c>
      <c r="U20" s="77">
        <f>T20*J20</f>
        <v>0</v>
      </c>
      <c r="V20" s="78">
        <f>T20/H20</f>
        <v>0</v>
      </c>
    </row>
    <row r="21" spans="2:22" s="5" customFormat="1" ht="24.15" customHeight="1" x14ac:dyDescent="0.35">
      <c r="B21" s="4"/>
      <c r="C21" s="28" t="s">
        <v>0</v>
      </c>
      <c r="D21" s="28" t="s">
        <v>32</v>
      </c>
      <c r="E21" s="29" t="s">
        <v>208</v>
      </c>
      <c r="F21" s="30" t="s">
        <v>209</v>
      </c>
      <c r="G21" s="31" t="s">
        <v>207</v>
      </c>
      <c r="H21" s="32">
        <v>63.84</v>
      </c>
      <c r="I21" s="32">
        <v>63.84</v>
      </c>
      <c r="J21" s="33">
        <v>64.180000000000007</v>
      </c>
      <c r="K21" s="34">
        <f t="shared" si="0"/>
        <v>4097.25</v>
      </c>
      <c r="L21" s="90">
        <f t="shared" ref="L21:L47" si="1">I21*J21</f>
        <v>4097.2512000000006</v>
      </c>
      <c r="M21" s="70">
        <v>63.84</v>
      </c>
      <c r="N21" s="71">
        <f t="shared" ref="N21:N47" si="2">M21*J21</f>
        <v>4097.2512000000006</v>
      </c>
      <c r="O21" s="72"/>
      <c r="P21" s="73">
        <f t="shared" ref="P21:P30" si="3">O21*J21</f>
        <v>0</v>
      </c>
      <c r="Q21" s="70">
        <f t="shared" ref="Q21:Q31" si="4">O21+M21</f>
        <v>63.84</v>
      </c>
      <c r="R21" s="74">
        <f t="shared" ref="R21:R31" si="5">Q21*J21</f>
        <v>4097.2512000000006</v>
      </c>
      <c r="S21" s="75">
        <f t="shared" ref="S21:S31" si="6">R21/K21</f>
        <v>1.0000002928793705</v>
      </c>
      <c r="T21" s="76">
        <f t="shared" ref="T21:T31" si="7">H21-Q21</f>
        <v>0</v>
      </c>
      <c r="U21" s="77">
        <f t="shared" ref="U21:U31" si="8">T21*J21</f>
        <v>0</v>
      </c>
      <c r="V21" s="78">
        <f t="shared" ref="V21:V31" si="9">T21/H21</f>
        <v>0</v>
      </c>
    </row>
    <row r="22" spans="2:22" s="5" customFormat="1" ht="33" customHeight="1" x14ac:dyDescent="0.35">
      <c r="B22" s="4"/>
      <c r="C22" s="28" t="s">
        <v>38</v>
      </c>
      <c r="D22" s="28" t="s">
        <v>32</v>
      </c>
      <c r="E22" s="29" t="s">
        <v>210</v>
      </c>
      <c r="F22" s="30" t="s">
        <v>211</v>
      </c>
      <c r="G22" s="31" t="s">
        <v>207</v>
      </c>
      <c r="H22" s="32">
        <v>228</v>
      </c>
      <c r="I22" s="32">
        <v>228</v>
      </c>
      <c r="J22" s="33">
        <v>187.19</v>
      </c>
      <c r="K22" s="34">
        <f t="shared" si="0"/>
        <v>42679.32</v>
      </c>
      <c r="L22" s="90">
        <f t="shared" si="1"/>
        <v>42679.32</v>
      </c>
      <c r="M22" s="70">
        <v>228</v>
      </c>
      <c r="N22" s="71">
        <f t="shared" si="2"/>
        <v>42679.32</v>
      </c>
      <c r="O22" s="72"/>
      <c r="P22" s="73">
        <f t="shared" si="3"/>
        <v>0</v>
      </c>
      <c r="Q22" s="70">
        <f t="shared" si="4"/>
        <v>228</v>
      </c>
      <c r="R22" s="74">
        <f t="shared" si="5"/>
        <v>42679.32</v>
      </c>
      <c r="S22" s="75">
        <f t="shared" si="6"/>
        <v>1</v>
      </c>
      <c r="T22" s="76">
        <f t="shared" si="7"/>
        <v>0</v>
      </c>
      <c r="U22" s="77">
        <f t="shared" si="8"/>
        <v>0</v>
      </c>
      <c r="V22" s="78">
        <f t="shared" si="9"/>
        <v>0</v>
      </c>
    </row>
    <row r="23" spans="2:22" s="5" customFormat="1" ht="33" customHeight="1" x14ac:dyDescent="0.35">
      <c r="B23" s="4"/>
      <c r="C23" s="28" t="s">
        <v>41</v>
      </c>
      <c r="D23" s="28" t="s">
        <v>32</v>
      </c>
      <c r="E23" s="29" t="s">
        <v>212</v>
      </c>
      <c r="F23" s="30" t="s">
        <v>213</v>
      </c>
      <c r="G23" s="31" t="s">
        <v>214</v>
      </c>
      <c r="H23" s="32">
        <v>39.200000000000003</v>
      </c>
      <c r="I23" s="32">
        <v>39.200000000000003</v>
      </c>
      <c r="J23" s="33">
        <v>113.65</v>
      </c>
      <c r="K23" s="34">
        <f t="shared" si="0"/>
        <v>4455.08</v>
      </c>
      <c r="L23" s="90">
        <f t="shared" si="1"/>
        <v>4455.0800000000008</v>
      </c>
      <c r="M23" s="70">
        <v>39.200000000000003</v>
      </c>
      <c r="N23" s="71">
        <f t="shared" si="2"/>
        <v>4455.0800000000008</v>
      </c>
      <c r="O23" s="72"/>
      <c r="P23" s="73">
        <f t="shared" si="3"/>
        <v>0</v>
      </c>
      <c r="Q23" s="70">
        <f t="shared" si="4"/>
        <v>39.200000000000003</v>
      </c>
      <c r="R23" s="74">
        <f t="shared" si="5"/>
        <v>4455.0800000000008</v>
      </c>
      <c r="S23" s="75">
        <f t="shared" si="6"/>
        <v>1.0000000000000002</v>
      </c>
      <c r="T23" s="76">
        <f t="shared" si="7"/>
        <v>0</v>
      </c>
      <c r="U23" s="77">
        <f t="shared" si="8"/>
        <v>0</v>
      </c>
      <c r="V23" s="78">
        <f t="shared" si="9"/>
        <v>0</v>
      </c>
    </row>
    <row r="24" spans="2:22" s="5" customFormat="1" ht="38" customHeight="1" x14ac:dyDescent="0.35">
      <c r="B24" s="4"/>
      <c r="C24" s="28" t="s">
        <v>30</v>
      </c>
      <c r="D24" s="28" t="s">
        <v>32</v>
      </c>
      <c r="E24" s="29" t="s">
        <v>215</v>
      </c>
      <c r="F24" s="30" t="s">
        <v>216</v>
      </c>
      <c r="G24" s="31" t="s">
        <v>214</v>
      </c>
      <c r="H24" s="32">
        <v>78.400000000000006</v>
      </c>
      <c r="I24" s="32">
        <v>78.400000000000006</v>
      </c>
      <c r="J24" s="33">
        <v>160.44999999999999</v>
      </c>
      <c r="K24" s="34">
        <f t="shared" si="0"/>
        <v>12579.28</v>
      </c>
      <c r="L24" s="90">
        <f t="shared" si="1"/>
        <v>12579.28</v>
      </c>
      <c r="M24" s="70">
        <v>78.400000000000006</v>
      </c>
      <c r="N24" s="71">
        <f t="shared" si="2"/>
        <v>12579.28</v>
      </c>
      <c r="O24" s="72"/>
      <c r="P24" s="73">
        <f t="shared" si="3"/>
        <v>0</v>
      </c>
      <c r="Q24" s="70">
        <f t="shared" si="4"/>
        <v>78.400000000000006</v>
      </c>
      <c r="R24" s="74">
        <f t="shared" si="5"/>
        <v>12579.28</v>
      </c>
      <c r="S24" s="75">
        <f t="shared" si="6"/>
        <v>1</v>
      </c>
      <c r="T24" s="76">
        <f t="shared" si="7"/>
        <v>0</v>
      </c>
      <c r="U24" s="77">
        <f t="shared" si="8"/>
        <v>0</v>
      </c>
      <c r="V24" s="78">
        <f t="shared" si="9"/>
        <v>0</v>
      </c>
    </row>
    <row r="25" spans="2:22" s="5" customFormat="1" ht="38" customHeight="1" x14ac:dyDescent="0.35">
      <c r="B25" s="4"/>
      <c r="C25" s="28" t="s">
        <v>46</v>
      </c>
      <c r="D25" s="28" t="s">
        <v>32</v>
      </c>
      <c r="E25" s="29" t="s">
        <v>217</v>
      </c>
      <c r="F25" s="30" t="s">
        <v>218</v>
      </c>
      <c r="G25" s="31" t="s">
        <v>214</v>
      </c>
      <c r="H25" s="32">
        <v>91.2</v>
      </c>
      <c r="I25" s="32">
        <v>91.2</v>
      </c>
      <c r="J25" s="33">
        <v>280.77999999999997</v>
      </c>
      <c r="K25" s="34">
        <f t="shared" si="0"/>
        <v>25607.14</v>
      </c>
      <c r="L25" s="90">
        <f t="shared" si="1"/>
        <v>25607.135999999999</v>
      </c>
      <c r="M25" s="70">
        <v>91.2</v>
      </c>
      <c r="N25" s="71">
        <f t="shared" si="2"/>
        <v>25607.135999999999</v>
      </c>
      <c r="O25" s="72"/>
      <c r="P25" s="73">
        <f t="shared" si="3"/>
        <v>0</v>
      </c>
      <c r="Q25" s="70">
        <f t="shared" si="4"/>
        <v>91.2</v>
      </c>
      <c r="R25" s="74">
        <f t="shared" si="5"/>
        <v>25607.135999999999</v>
      </c>
      <c r="S25" s="75">
        <f t="shared" si="6"/>
        <v>0.99999984379356688</v>
      </c>
      <c r="T25" s="76">
        <f t="shared" si="7"/>
        <v>0</v>
      </c>
      <c r="U25" s="77">
        <f t="shared" si="8"/>
        <v>0</v>
      </c>
      <c r="V25" s="78">
        <f t="shared" si="9"/>
        <v>0</v>
      </c>
    </row>
    <row r="26" spans="2:22" s="5" customFormat="1" ht="38" customHeight="1" x14ac:dyDescent="0.35">
      <c r="B26" s="4"/>
      <c r="C26" s="28" t="s">
        <v>49</v>
      </c>
      <c r="D26" s="28" t="s">
        <v>32</v>
      </c>
      <c r="E26" s="29" t="s">
        <v>219</v>
      </c>
      <c r="F26" s="30" t="s">
        <v>220</v>
      </c>
      <c r="G26" s="31" t="s">
        <v>214</v>
      </c>
      <c r="H26" s="32">
        <v>912</v>
      </c>
      <c r="I26" s="32">
        <v>912</v>
      </c>
      <c r="J26" s="33">
        <v>1.34</v>
      </c>
      <c r="K26" s="34">
        <f t="shared" si="0"/>
        <v>1222.08</v>
      </c>
      <c r="L26" s="90">
        <f t="shared" si="1"/>
        <v>1222.0800000000002</v>
      </c>
      <c r="M26" s="70">
        <v>912</v>
      </c>
      <c r="N26" s="71">
        <f t="shared" si="2"/>
        <v>1222.0800000000002</v>
      </c>
      <c r="O26" s="72"/>
      <c r="P26" s="73">
        <f t="shared" si="3"/>
        <v>0</v>
      </c>
      <c r="Q26" s="70">
        <f t="shared" si="4"/>
        <v>912</v>
      </c>
      <c r="R26" s="74">
        <f t="shared" si="5"/>
        <v>1222.0800000000002</v>
      </c>
      <c r="S26" s="75">
        <f t="shared" si="6"/>
        <v>1.0000000000000002</v>
      </c>
      <c r="T26" s="76">
        <f t="shared" si="7"/>
        <v>0</v>
      </c>
      <c r="U26" s="77">
        <f t="shared" si="8"/>
        <v>0</v>
      </c>
      <c r="V26" s="78">
        <f t="shared" si="9"/>
        <v>0</v>
      </c>
    </row>
    <row r="27" spans="2:22" s="5" customFormat="1" ht="16.5" customHeight="1" x14ac:dyDescent="0.35">
      <c r="B27" s="4"/>
      <c r="C27" s="28" t="s">
        <v>52</v>
      </c>
      <c r="D27" s="28" t="s">
        <v>32</v>
      </c>
      <c r="E27" s="29" t="s">
        <v>221</v>
      </c>
      <c r="F27" s="30" t="s">
        <v>222</v>
      </c>
      <c r="G27" s="31" t="s">
        <v>223</v>
      </c>
      <c r="H27" s="32">
        <v>182.4</v>
      </c>
      <c r="I27" s="32">
        <v>182.4</v>
      </c>
      <c r="J27" s="33">
        <v>212.59</v>
      </c>
      <c r="K27" s="34">
        <f t="shared" si="0"/>
        <v>38776.42</v>
      </c>
      <c r="L27" s="90">
        <f t="shared" si="1"/>
        <v>38776.416000000005</v>
      </c>
      <c r="M27" s="70">
        <v>182.4</v>
      </c>
      <c r="N27" s="71">
        <f t="shared" si="2"/>
        <v>38776.416000000005</v>
      </c>
      <c r="O27" s="72"/>
      <c r="P27" s="73">
        <f t="shared" si="3"/>
        <v>0</v>
      </c>
      <c r="Q27" s="70">
        <f t="shared" si="4"/>
        <v>182.4</v>
      </c>
      <c r="R27" s="74">
        <f t="shared" si="5"/>
        <v>38776.416000000005</v>
      </c>
      <c r="S27" s="75">
        <f t="shared" si="6"/>
        <v>0.99999989684452584</v>
      </c>
      <c r="T27" s="76">
        <f t="shared" si="7"/>
        <v>0</v>
      </c>
      <c r="U27" s="77">
        <f t="shared" si="8"/>
        <v>0</v>
      </c>
      <c r="V27" s="78">
        <f t="shared" si="9"/>
        <v>0</v>
      </c>
    </row>
    <row r="28" spans="2:22" s="5" customFormat="1" ht="24.15" customHeight="1" x14ac:dyDescent="0.35">
      <c r="B28" s="4"/>
      <c r="C28" s="28" t="s">
        <v>55</v>
      </c>
      <c r="D28" s="28" t="s">
        <v>32</v>
      </c>
      <c r="E28" s="29" t="s">
        <v>224</v>
      </c>
      <c r="F28" s="30" t="s">
        <v>225</v>
      </c>
      <c r="G28" s="31" t="s">
        <v>214</v>
      </c>
      <c r="H28" s="32">
        <v>39.200000000000003</v>
      </c>
      <c r="I28" s="32">
        <v>39.200000000000003</v>
      </c>
      <c r="J28" s="33">
        <v>60.17</v>
      </c>
      <c r="K28" s="34">
        <f t="shared" si="0"/>
        <v>2358.66</v>
      </c>
      <c r="L28" s="90">
        <f t="shared" si="1"/>
        <v>2358.6640000000002</v>
      </c>
      <c r="M28" s="70">
        <v>39.200000000000003</v>
      </c>
      <c r="N28" s="71">
        <f t="shared" si="2"/>
        <v>2358.6640000000002</v>
      </c>
      <c r="O28" s="72"/>
      <c r="P28" s="73">
        <f t="shared" si="3"/>
        <v>0</v>
      </c>
      <c r="Q28" s="70">
        <f t="shared" si="4"/>
        <v>39.200000000000003</v>
      </c>
      <c r="R28" s="74">
        <f t="shared" si="5"/>
        <v>2358.6640000000002</v>
      </c>
      <c r="S28" s="75">
        <f t="shared" si="6"/>
        <v>1.0000016958781683</v>
      </c>
      <c r="T28" s="76">
        <f t="shared" si="7"/>
        <v>0</v>
      </c>
      <c r="U28" s="77">
        <f t="shared" si="8"/>
        <v>0</v>
      </c>
      <c r="V28" s="78">
        <f t="shared" si="9"/>
        <v>0</v>
      </c>
    </row>
    <row r="29" spans="2:22" s="5" customFormat="1" ht="24.15" customHeight="1" x14ac:dyDescent="0.35">
      <c r="B29" s="4"/>
      <c r="C29" s="28" t="s">
        <v>58</v>
      </c>
      <c r="D29" s="28" t="s">
        <v>32</v>
      </c>
      <c r="E29" s="29" t="s">
        <v>226</v>
      </c>
      <c r="F29" s="30" t="s">
        <v>227</v>
      </c>
      <c r="G29" s="31" t="s">
        <v>214</v>
      </c>
      <c r="H29" s="32">
        <v>39.200000000000003</v>
      </c>
      <c r="I29" s="32">
        <v>39.200000000000003</v>
      </c>
      <c r="J29" s="33">
        <v>120.34</v>
      </c>
      <c r="K29" s="34">
        <f t="shared" si="0"/>
        <v>4717.33</v>
      </c>
      <c r="L29" s="90">
        <f t="shared" si="1"/>
        <v>4717.3280000000004</v>
      </c>
      <c r="M29" s="70">
        <v>39.200000000000003</v>
      </c>
      <c r="N29" s="71">
        <f t="shared" si="2"/>
        <v>4717.3280000000004</v>
      </c>
      <c r="O29" s="72"/>
      <c r="P29" s="73">
        <f t="shared" si="3"/>
        <v>0</v>
      </c>
      <c r="Q29" s="70">
        <f t="shared" si="4"/>
        <v>39.200000000000003</v>
      </c>
      <c r="R29" s="74">
        <f t="shared" si="5"/>
        <v>4717.3280000000004</v>
      </c>
      <c r="S29" s="75">
        <f t="shared" si="6"/>
        <v>0.99999957603135681</v>
      </c>
      <c r="T29" s="76">
        <f t="shared" si="7"/>
        <v>0</v>
      </c>
      <c r="U29" s="77">
        <f t="shared" si="8"/>
        <v>0</v>
      </c>
      <c r="V29" s="78">
        <f t="shared" si="9"/>
        <v>0</v>
      </c>
    </row>
    <row r="30" spans="2:22" s="5" customFormat="1" ht="24.15" customHeight="1" x14ac:dyDescent="0.35">
      <c r="B30" s="4"/>
      <c r="C30" s="28" t="s">
        <v>61</v>
      </c>
      <c r="D30" s="28" t="s">
        <v>32</v>
      </c>
      <c r="E30" s="29" t="s">
        <v>228</v>
      </c>
      <c r="F30" s="30" t="s">
        <v>229</v>
      </c>
      <c r="G30" s="31" t="s">
        <v>207</v>
      </c>
      <c r="H30" s="32">
        <v>112</v>
      </c>
      <c r="I30" s="32">
        <v>112</v>
      </c>
      <c r="J30" s="33">
        <v>10.7</v>
      </c>
      <c r="K30" s="34">
        <f t="shared" si="0"/>
        <v>1198.4000000000001</v>
      </c>
      <c r="L30" s="90">
        <f t="shared" si="1"/>
        <v>1198.3999999999999</v>
      </c>
      <c r="M30" s="70">
        <v>112</v>
      </c>
      <c r="N30" s="71">
        <f t="shared" si="2"/>
        <v>1198.3999999999999</v>
      </c>
      <c r="O30" s="72"/>
      <c r="P30" s="73">
        <f t="shared" si="3"/>
        <v>0</v>
      </c>
      <c r="Q30" s="70">
        <f t="shared" si="4"/>
        <v>112</v>
      </c>
      <c r="R30" s="74">
        <f t="shared" si="5"/>
        <v>1198.3999999999999</v>
      </c>
      <c r="S30" s="75">
        <f t="shared" si="6"/>
        <v>0.99999999999999978</v>
      </c>
      <c r="T30" s="76">
        <f t="shared" si="7"/>
        <v>0</v>
      </c>
      <c r="U30" s="77">
        <f t="shared" si="8"/>
        <v>0</v>
      </c>
      <c r="V30" s="78">
        <f t="shared" si="9"/>
        <v>0</v>
      </c>
    </row>
    <row r="31" spans="2:22" s="5" customFormat="1" ht="24.15" customHeight="1" x14ac:dyDescent="0.35">
      <c r="B31" s="4"/>
      <c r="C31" s="28" t="s">
        <v>64</v>
      </c>
      <c r="D31" s="28" t="s">
        <v>32</v>
      </c>
      <c r="E31" s="29" t="s">
        <v>231</v>
      </c>
      <c r="F31" s="30" t="s">
        <v>232</v>
      </c>
      <c r="G31" s="31" t="s">
        <v>207</v>
      </c>
      <c r="H31" s="32">
        <v>265.64999999999998</v>
      </c>
      <c r="I31" s="32">
        <v>265.64999999999998</v>
      </c>
      <c r="J31" s="33">
        <v>20.059999999999999</v>
      </c>
      <c r="K31" s="34">
        <f t="shared" si="0"/>
        <v>5328.94</v>
      </c>
      <c r="L31" s="90">
        <f t="shared" si="1"/>
        <v>5328.9389999999994</v>
      </c>
      <c r="M31" s="70">
        <v>265.64999999999998</v>
      </c>
      <c r="N31" s="71">
        <f t="shared" si="2"/>
        <v>5328.9389999999994</v>
      </c>
      <c r="O31" s="72"/>
      <c r="P31" s="73">
        <f>O31*J31</f>
        <v>0</v>
      </c>
      <c r="Q31" s="70">
        <f t="shared" si="4"/>
        <v>265.64999999999998</v>
      </c>
      <c r="R31" s="74">
        <f t="shared" si="5"/>
        <v>5328.9389999999994</v>
      </c>
      <c r="S31" s="75">
        <f t="shared" si="6"/>
        <v>0.99999981234541946</v>
      </c>
      <c r="T31" s="76">
        <f t="shared" si="7"/>
        <v>0</v>
      </c>
      <c r="U31" s="77">
        <f t="shared" si="8"/>
        <v>0</v>
      </c>
      <c r="V31" s="78">
        <f t="shared" si="9"/>
        <v>0</v>
      </c>
    </row>
    <row r="32" spans="2:22" s="23" customFormat="1" ht="23" customHeight="1" x14ac:dyDescent="0.25">
      <c r="B32" s="22"/>
      <c r="D32" s="24" t="s">
        <v>27</v>
      </c>
      <c r="E32" s="36" t="s">
        <v>30</v>
      </c>
      <c r="F32" s="36" t="s">
        <v>233</v>
      </c>
      <c r="J32" s="26"/>
      <c r="K32" s="37">
        <f>SUM(K33:K38)</f>
        <v>516015.01</v>
      </c>
      <c r="L32" s="37">
        <f>SUM(L33:L38)</f>
        <v>532624.96399999992</v>
      </c>
      <c r="N32" s="37">
        <f>SUM(N33:N38)</f>
        <v>478519.26900000003</v>
      </c>
      <c r="P32" s="37">
        <f>SUM(P33:P38)</f>
        <v>0</v>
      </c>
      <c r="R32" s="37">
        <f>SUM(R33:R38)</f>
        <v>478519.26900000003</v>
      </c>
      <c r="U32" s="37">
        <f>SUM(U33:U38)</f>
        <v>37495.739999999969</v>
      </c>
    </row>
    <row r="33" spans="2:22" s="5" customFormat="1" ht="24.15" customHeight="1" x14ac:dyDescent="0.35">
      <c r="B33" s="4"/>
      <c r="C33" s="28" t="s">
        <v>130</v>
      </c>
      <c r="D33" s="28" t="s">
        <v>32</v>
      </c>
      <c r="E33" s="29" t="s">
        <v>234</v>
      </c>
      <c r="F33" s="30" t="s">
        <v>235</v>
      </c>
      <c r="G33" s="31" t="s">
        <v>207</v>
      </c>
      <c r="H33" s="32">
        <v>265.64999999999998</v>
      </c>
      <c r="I33" s="32">
        <v>265.64999999999998</v>
      </c>
      <c r="J33" s="33">
        <v>211.26</v>
      </c>
      <c r="K33" s="34">
        <f t="shared" ref="K33:K38" si="10">ROUND(J33*H33,2)</f>
        <v>56121.22</v>
      </c>
      <c r="L33" s="90">
        <f t="shared" si="1"/>
        <v>56121.21899999999</v>
      </c>
      <c r="M33" s="70">
        <v>265.64999999999998</v>
      </c>
      <c r="N33" s="71">
        <f t="shared" si="2"/>
        <v>56121.21899999999</v>
      </c>
      <c r="O33" s="72"/>
      <c r="P33" s="73">
        <f t="shared" ref="P33:P38" si="11">O33*J33</f>
        <v>0</v>
      </c>
      <c r="Q33" s="70">
        <f t="shared" ref="Q33:Q38" si="12">O33+M33</f>
        <v>265.64999999999998</v>
      </c>
      <c r="R33" s="74">
        <f t="shared" ref="R33:R38" si="13">Q33*J33</f>
        <v>56121.21899999999</v>
      </c>
      <c r="S33" s="75">
        <f t="shared" ref="S33:S38" si="14">R33/K33</f>
        <v>0.99999998218142783</v>
      </c>
      <c r="T33" s="76">
        <f t="shared" ref="T33:T38" si="15">H33-Q33</f>
        <v>0</v>
      </c>
      <c r="U33" s="77">
        <f t="shared" ref="U33:U38" si="16">T33*J33</f>
        <v>0</v>
      </c>
      <c r="V33" s="78">
        <f t="shared" ref="V33:V38" si="17">T33/H33</f>
        <v>0</v>
      </c>
    </row>
    <row r="34" spans="2:22" s="5" customFormat="1" ht="24.15" customHeight="1" x14ac:dyDescent="0.35">
      <c r="B34" s="4"/>
      <c r="C34" s="28" t="s">
        <v>133</v>
      </c>
      <c r="D34" s="28" t="s">
        <v>32</v>
      </c>
      <c r="E34" s="29" t="s">
        <v>236</v>
      </c>
      <c r="F34" s="30" t="s">
        <v>237</v>
      </c>
      <c r="G34" s="31" t="s">
        <v>207</v>
      </c>
      <c r="H34" s="32">
        <v>231</v>
      </c>
      <c r="I34" s="32">
        <v>231</v>
      </c>
      <c r="J34" s="33">
        <v>367.69</v>
      </c>
      <c r="K34" s="34">
        <f t="shared" si="10"/>
        <v>84936.39</v>
      </c>
      <c r="L34" s="90">
        <f t="shared" si="1"/>
        <v>84936.39</v>
      </c>
      <c r="M34" s="70">
        <v>231</v>
      </c>
      <c r="N34" s="71">
        <f t="shared" si="2"/>
        <v>84936.39</v>
      </c>
      <c r="O34" s="72"/>
      <c r="P34" s="73">
        <f t="shared" si="11"/>
        <v>0</v>
      </c>
      <c r="Q34" s="70">
        <f t="shared" si="12"/>
        <v>231</v>
      </c>
      <c r="R34" s="74">
        <f t="shared" si="13"/>
        <v>84936.39</v>
      </c>
      <c r="S34" s="75">
        <f t="shared" si="14"/>
        <v>1</v>
      </c>
      <c r="T34" s="76">
        <f t="shared" si="15"/>
        <v>0</v>
      </c>
      <c r="U34" s="77">
        <f t="shared" si="16"/>
        <v>0</v>
      </c>
      <c r="V34" s="78">
        <f t="shared" si="17"/>
        <v>0</v>
      </c>
    </row>
    <row r="35" spans="2:22" s="5" customFormat="1" ht="33" customHeight="1" x14ac:dyDescent="0.35">
      <c r="B35" s="4"/>
      <c r="C35" s="28" t="s">
        <v>136</v>
      </c>
      <c r="D35" s="28" t="s">
        <v>32</v>
      </c>
      <c r="E35" s="29" t="s">
        <v>238</v>
      </c>
      <c r="F35" s="30" t="s">
        <v>239</v>
      </c>
      <c r="G35" s="31" t="s">
        <v>207</v>
      </c>
      <c r="H35" s="32">
        <v>228</v>
      </c>
      <c r="I35" s="32">
        <v>238.1</v>
      </c>
      <c r="J35" s="33">
        <v>641.79</v>
      </c>
      <c r="K35" s="34">
        <f t="shared" si="10"/>
        <v>146328.12</v>
      </c>
      <c r="L35" s="90">
        <f t="shared" si="1"/>
        <v>152810.19899999999</v>
      </c>
      <c r="M35" s="70">
        <v>205.20000000000002</v>
      </c>
      <c r="N35" s="71">
        <f t="shared" si="2"/>
        <v>131695.30799999999</v>
      </c>
      <c r="O35" s="72"/>
      <c r="P35" s="73">
        <f t="shared" si="11"/>
        <v>0</v>
      </c>
      <c r="Q35" s="70">
        <f t="shared" si="12"/>
        <v>205.20000000000002</v>
      </c>
      <c r="R35" s="74">
        <f t="shared" si="13"/>
        <v>131695.30799999999</v>
      </c>
      <c r="S35" s="75">
        <f t="shared" si="14"/>
        <v>0.89999999999999991</v>
      </c>
      <c r="T35" s="76">
        <f t="shared" si="15"/>
        <v>22.799999999999983</v>
      </c>
      <c r="U35" s="77">
        <f t="shared" si="16"/>
        <v>14632.811999999989</v>
      </c>
      <c r="V35" s="78">
        <f t="shared" si="17"/>
        <v>9.9999999999999922E-2</v>
      </c>
    </row>
    <row r="36" spans="2:22" s="5" customFormat="1" ht="24.15" customHeight="1" x14ac:dyDescent="0.35">
      <c r="B36" s="4"/>
      <c r="C36" s="28" t="s">
        <v>74</v>
      </c>
      <c r="D36" s="28" t="s">
        <v>32</v>
      </c>
      <c r="E36" s="29" t="s">
        <v>240</v>
      </c>
      <c r="F36" s="30" t="s">
        <v>241</v>
      </c>
      <c r="G36" s="31" t="s">
        <v>207</v>
      </c>
      <c r="H36" s="32">
        <v>228</v>
      </c>
      <c r="I36" s="32">
        <f>I35</f>
        <v>238.1</v>
      </c>
      <c r="J36" s="33">
        <v>42.79</v>
      </c>
      <c r="K36" s="34">
        <f t="shared" si="10"/>
        <v>9756.1200000000008</v>
      </c>
      <c r="L36" s="90">
        <f t="shared" si="1"/>
        <v>10188.298999999999</v>
      </c>
      <c r="M36" s="70">
        <v>205.20000000000002</v>
      </c>
      <c r="N36" s="71">
        <f t="shared" si="2"/>
        <v>8780.5079999999998</v>
      </c>
      <c r="O36" s="72"/>
      <c r="P36" s="73">
        <f t="shared" si="11"/>
        <v>0</v>
      </c>
      <c r="Q36" s="70">
        <f t="shared" si="12"/>
        <v>205.20000000000002</v>
      </c>
      <c r="R36" s="74">
        <f t="shared" si="13"/>
        <v>8780.5079999999998</v>
      </c>
      <c r="S36" s="75">
        <f t="shared" si="14"/>
        <v>0.89999999999999991</v>
      </c>
      <c r="T36" s="76">
        <f t="shared" si="15"/>
        <v>22.799999999999983</v>
      </c>
      <c r="U36" s="77">
        <f t="shared" si="16"/>
        <v>975.61199999999928</v>
      </c>
      <c r="V36" s="78">
        <f t="shared" si="17"/>
        <v>9.9999999999999922E-2</v>
      </c>
    </row>
    <row r="37" spans="2:22" s="5" customFormat="1" ht="24.15" customHeight="1" x14ac:dyDescent="0.35">
      <c r="B37" s="4"/>
      <c r="C37" s="28" t="s">
        <v>143</v>
      </c>
      <c r="D37" s="28" t="s">
        <v>32</v>
      </c>
      <c r="E37" s="29" t="s">
        <v>242</v>
      </c>
      <c r="F37" s="30" t="s">
        <v>243</v>
      </c>
      <c r="G37" s="31" t="s">
        <v>207</v>
      </c>
      <c r="H37" s="32">
        <v>228</v>
      </c>
      <c r="I37" s="32">
        <f>I35</f>
        <v>238.1</v>
      </c>
      <c r="J37" s="33">
        <v>37.44</v>
      </c>
      <c r="K37" s="34">
        <f t="shared" si="10"/>
        <v>8536.32</v>
      </c>
      <c r="L37" s="90">
        <f t="shared" si="1"/>
        <v>8914.4639999999999</v>
      </c>
      <c r="M37" s="70">
        <v>205.20000000000002</v>
      </c>
      <c r="N37" s="71">
        <f t="shared" si="2"/>
        <v>7682.6880000000001</v>
      </c>
      <c r="O37" s="72"/>
      <c r="P37" s="73">
        <f t="shared" si="11"/>
        <v>0</v>
      </c>
      <c r="Q37" s="70">
        <f t="shared" si="12"/>
        <v>205.20000000000002</v>
      </c>
      <c r="R37" s="74">
        <f t="shared" si="13"/>
        <v>7682.6880000000001</v>
      </c>
      <c r="S37" s="75">
        <f t="shared" si="14"/>
        <v>0.9</v>
      </c>
      <c r="T37" s="76">
        <f t="shared" si="15"/>
        <v>22.799999999999983</v>
      </c>
      <c r="U37" s="77">
        <f t="shared" si="16"/>
        <v>853.63199999999927</v>
      </c>
      <c r="V37" s="78">
        <f t="shared" si="17"/>
        <v>9.9999999999999922E-2</v>
      </c>
    </row>
    <row r="38" spans="2:22" s="5" customFormat="1" ht="33" customHeight="1" x14ac:dyDescent="0.35">
      <c r="B38" s="4"/>
      <c r="C38" s="28" t="s">
        <v>163</v>
      </c>
      <c r="D38" s="28" t="s">
        <v>32</v>
      </c>
      <c r="E38" s="29" t="s">
        <v>244</v>
      </c>
      <c r="F38" s="30" t="s">
        <v>245</v>
      </c>
      <c r="G38" s="31" t="s">
        <v>207</v>
      </c>
      <c r="H38" s="32">
        <v>228</v>
      </c>
      <c r="I38" s="32">
        <f>I35</f>
        <v>238.1</v>
      </c>
      <c r="J38" s="33">
        <v>922.53</v>
      </c>
      <c r="K38" s="34">
        <f t="shared" si="10"/>
        <v>210336.84</v>
      </c>
      <c r="L38" s="90">
        <f t="shared" si="1"/>
        <v>219654.39299999998</v>
      </c>
      <c r="M38" s="70">
        <v>205.20000000000002</v>
      </c>
      <c r="N38" s="71">
        <f t="shared" si="2"/>
        <v>189303.15600000002</v>
      </c>
      <c r="O38" s="72"/>
      <c r="P38" s="73">
        <f t="shared" si="11"/>
        <v>0</v>
      </c>
      <c r="Q38" s="70">
        <f t="shared" si="12"/>
        <v>205.20000000000002</v>
      </c>
      <c r="R38" s="74">
        <f t="shared" si="13"/>
        <v>189303.15600000002</v>
      </c>
      <c r="S38" s="75">
        <f t="shared" si="14"/>
        <v>0.90000000000000013</v>
      </c>
      <c r="T38" s="76">
        <f t="shared" si="15"/>
        <v>22.799999999999983</v>
      </c>
      <c r="U38" s="77">
        <f t="shared" si="16"/>
        <v>21033.683999999983</v>
      </c>
      <c r="V38" s="78">
        <f t="shared" si="17"/>
        <v>9.9999999999999922E-2</v>
      </c>
    </row>
    <row r="39" spans="2:22" s="23" customFormat="1" ht="23" customHeight="1" x14ac:dyDescent="0.25">
      <c r="B39" s="22"/>
      <c r="D39" s="24" t="s">
        <v>27</v>
      </c>
      <c r="E39" s="36" t="s">
        <v>55</v>
      </c>
      <c r="F39" s="36" t="s">
        <v>246</v>
      </c>
      <c r="J39" s="26"/>
      <c r="K39" s="37">
        <f>SUM(K40:K41)</f>
        <v>6888.59</v>
      </c>
      <c r="L39" s="37">
        <f>SUM(L40:L41)</f>
        <v>6888.5919999999987</v>
      </c>
      <c r="N39" s="37">
        <f>SUM(N40:N41)</f>
        <v>6888.5919999999987</v>
      </c>
      <c r="P39" s="37">
        <f>SUM(P40:P41)</f>
        <v>0</v>
      </c>
      <c r="R39" s="37">
        <f>SUM(R40:R41)</f>
        <v>6888.5919999999987</v>
      </c>
      <c r="U39" s="37">
        <f>SUM(U40:U41)</f>
        <v>0</v>
      </c>
    </row>
    <row r="40" spans="2:22" s="5" customFormat="1" ht="24.15" customHeight="1" x14ac:dyDescent="0.35">
      <c r="B40" s="4"/>
      <c r="C40" s="28" t="s">
        <v>149</v>
      </c>
      <c r="D40" s="28" t="s">
        <v>32</v>
      </c>
      <c r="E40" s="29" t="s">
        <v>247</v>
      </c>
      <c r="F40" s="30" t="s">
        <v>248</v>
      </c>
      <c r="G40" s="31" t="s">
        <v>120</v>
      </c>
      <c r="H40" s="32">
        <v>36.799999999999997</v>
      </c>
      <c r="I40" s="32">
        <v>36.799999999999997</v>
      </c>
      <c r="J40" s="33">
        <v>100.28</v>
      </c>
      <c r="K40" s="34">
        <f>ROUND(J40*H40,2)</f>
        <v>3690.3</v>
      </c>
      <c r="L40" s="90">
        <f t="shared" si="1"/>
        <v>3690.3039999999996</v>
      </c>
      <c r="M40" s="70">
        <v>36.799999999999997</v>
      </c>
      <c r="N40" s="71">
        <f t="shared" si="2"/>
        <v>3690.3039999999996</v>
      </c>
      <c r="O40" s="72"/>
      <c r="P40" s="73">
        <f>O40*J40</f>
        <v>0</v>
      </c>
      <c r="Q40" s="70">
        <f>O40+M40</f>
        <v>36.799999999999997</v>
      </c>
      <c r="R40" s="74">
        <f>Q40*J40</f>
        <v>3690.3039999999996</v>
      </c>
      <c r="S40" s="75">
        <f>R40/K40</f>
        <v>1.0000010839227162</v>
      </c>
      <c r="T40" s="76">
        <f>H40-Q40</f>
        <v>0</v>
      </c>
      <c r="U40" s="77">
        <f>T40*J40</f>
        <v>0</v>
      </c>
      <c r="V40" s="78">
        <f>T40/H40</f>
        <v>0</v>
      </c>
    </row>
    <row r="41" spans="2:22" s="5" customFormat="1" ht="24.15" customHeight="1" x14ac:dyDescent="0.35">
      <c r="B41" s="4"/>
      <c r="C41" s="28" t="s">
        <v>151</v>
      </c>
      <c r="D41" s="28" t="s">
        <v>32</v>
      </c>
      <c r="E41" s="29" t="s">
        <v>249</v>
      </c>
      <c r="F41" s="30" t="s">
        <v>250</v>
      </c>
      <c r="G41" s="31" t="s">
        <v>120</v>
      </c>
      <c r="H41" s="32">
        <v>36.799999999999997</v>
      </c>
      <c r="I41" s="32">
        <v>36.799999999999997</v>
      </c>
      <c r="J41" s="33">
        <v>86.91</v>
      </c>
      <c r="K41" s="34">
        <f>ROUND(J41*H41,2)</f>
        <v>3198.29</v>
      </c>
      <c r="L41" s="90">
        <f t="shared" si="1"/>
        <v>3198.2879999999996</v>
      </c>
      <c r="M41" s="70">
        <v>36.799999999999997</v>
      </c>
      <c r="N41" s="71">
        <f t="shared" si="2"/>
        <v>3198.2879999999996</v>
      </c>
      <c r="O41" s="72"/>
      <c r="P41" s="73">
        <f>O41*J41</f>
        <v>0</v>
      </c>
      <c r="Q41" s="70">
        <f>O41+M41</f>
        <v>36.799999999999997</v>
      </c>
      <c r="R41" s="74">
        <f>Q41*J41</f>
        <v>3198.2879999999996</v>
      </c>
      <c r="S41" s="75">
        <f>R41/K41</f>
        <v>0.99999937466583688</v>
      </c>
      <c r="T41" s="76">
        <f>H41-Q41</f>
        <v>0</v>
      </c>
      <c r="U41" s="77">
        <f>T41*J41</f>
        <v>0</v>
      </c>
      <c r="V41" s="78">
        <f>T41/H41</f>
        <v>0</v>
      </c>
    </row>
    <row r="42" spans="2:22" s="23" customFormat="1" ht="23" customHeight="1" x14ac:dyDescent="0.25">
      <c r="B42" s="22"/>
      <c r="D42" s="24" t="s">
        <v>27</v>
      </c>
      <c r="E42" s="36" t="s">
        <v>251</v>
      </c>
      <c r="F42" s="36" t="s">
        <v>252</v>
      </c>
      <c r="J42" s="26"/>
      <c r="K42" s="37">
        <f>SUM(K43:K45)</f>
        <v>29381.079999999998</v>
      </c>
      <c r="L42" s="37">
        <f>SUM(L43:L45)</f>
        <v>29381.083200000001</v>
      </c>
      <c r="N42" s="37">
        <f>SUM(N43:N45)</f>
        <v>29381.083200000001</v>
      </c>
      <c r="P42" s="37">
        <f>SUM(P43:P45)</f>
        <v>0</v>
      </c>
      <c r="R42" s="37">
        <f>SUM(R43:R45)</f>
        <v>29381.083200000001</v>
      </c>
      <c r="U42" s="37">
        <f>SUM(U43:U45)</f>
        <v>0</v>
      </c>
    </row>
    <row r="43" spans="2:22" s="5" customFormat="1" ht="21.75" customHeight="1" x14ac:dyDescent="0.35">
      <c r="B43" s="4"/>
      <c r="C43" s="28" t="s">
        <v>155</v>
      </c>
      <c r="D43" s="28" t="s">
        <v>32</v>
      </c>
      <c r="E43" s="29" t="s">
        <v>253</v>
      </c>
      <c r="F43" s="30" t="s">
        <v>254</v>
      </c>
      <c r="G43" s="31" t="s">
        <v>223</v>
      </c>
      <c r="H43" s="32">
        <v>52.44</v>
      </c>
      <c r="I43" s="32">
        <v>52.44</v>
      </c>
      <c r="J43" s="33">
        <v>267.41000000000003</v>
      </c>
      <c r="K43" s="34">
        <f>ROUND(J43*H43,2)</f>
        <v>14022.98</v>
      </c>
      <c r="L43" s="90">
        <f t="shared" si="1"/>
        <v>14022.9804</v>
      </c>
      <c r="M43" s="70">
        <v>52.44</v>
      </c>
      <c r="N43" s="71">
        <f t="shared" si="2"/>
        <v>14022.9804</v>
      </c>
      <c r="O43" s="72"/>
      <c r="P43" s="73">
        <f>O43*J43</f>
        <v>0</v>
      </c>
      <c r="Q43" s="70">
        <f>O43+M43</f>
        <v>52.44</v>
      </c>
      <c r="R43" s="74">
        <f>Q43*J43</f>
        <v>14022.9804</v>
      </c>
      <c r="S43" s="75">
        <f>R43/K43</f>
        <v>1.0000000285246076</v>
      </c>
      <c r="T43" s="76">
        <f>H43-Q43</f>
        <v>0</v>
      </c>
      <c r="U43" s="77">
        <f>T43*J43</f>
        <v>0</v>
      </c>
      <c r="V43" s="78">
        <f>T43/H43</f>
        <v>0</v>
      </c>
    </row>
    <row r="44" spans="2:22" s="5" customFormat="1" ht="24.15" customHeight="1" x14ac:dyDescent="0.35">
      <c r="B44" s="4"/>
      <c r="C44" s="28" t="s">
        <v>157</v>
      </c>
      <c r="D44" s="28" t="s">
        <v>32</v>
      </c>
      <c r="E44" s="29" t="s">
        <v>255</v>
      </c>
      <c r="F44" s="30" t="s">
        <v>256</v>
      </c>
      <c r="G44" s="31" t="s">
        <v>223</v>
      </c>
      <c r="H44" s="32">
        <v>996.36</v>
      </c>
      <c r="I44" s="32">
        <v>996.36</v>
      </c>
      <c r="J44" s="33">
        <v>1.34</v>
      </c>
      <c r="K44" s="34">
        <f>ROUND(J44*H44,2)</f>
        <v>1335.12</v>
      </c>
      <c r="L44" s="90">
        <f t="shared" si="1"/>
        <v>1335.1224000000002</v>
      </c>
      <c r="M44" s="70">
        <v>996.36</v>
      </c>
      <c r="N44" s="71">
        <f t="shared" si="2"/>
        <v>1335.1224000000002</v>
      </c>
      <c r="O44" s="72"/>
      <c r="P44" s="73">
        <f>O44*J44</f>
        <v>0</v>
      </c>
      <c r="Q44" s="70">
        <f>O44+M44</f>
        <v>996.36</v>
      </c>
      <c r="R44" s="74">
        <f>Q44*J44</f>
        <v>1335.1224000000002</v>
      </c>
      <c r="S44" s="75">
        <f>R44/K44</f>
        <v>1.0000017975912281</v>
      </c>
      <c r="T44" s="76">
        <f>H44-Q44</f>
        <v>0</v>
      </c>
      <c r="U44" s="77">
        <f>T44*J44</f>
        <v>0</v>
      </c>
      <c r="V44" s="78">
        <f>T44/H44</f>
        <v>0</v>
      </c>
    </row>
    <row r="45" spans="2:22" s="5" customFormat="1" ht="16.5" customHeight="1" x14ac:dyDescent="0.35">
      <c r="B45" s="4"/>
      <c r="C45" s="28" t="s">
        <v>159</v>
      </c>
      <c r="D45" s="28" t="s">
        <v>32</v>
      </c>
      <c r="E45" s="29" t="s">
        <v>257</v>
      </c>
      <c r="F45" s="30" t="s">
        <v>258</v>
      </c>
      <c r="G45" s="31" t="s">
        <v>223</v>
      </c>
      <c r="H45" s="32">
        <v>52.44</v>
      </c>
      <c r="I45" s="32">
        <v>52.44</v>
      </c>
      <c r="J45" s="33">
        <v>267.41000000000003</v>
      </c>
      <c r="K45" s="34">
        <f>ROUND(J45*H45,2)</f>
        <v>14022.98</v>
      </c>
      <c r="L45" s="90">
        <f t="shared" si="1"/>
        <v>14022.9804</v>
      </c>
      <c r="M45" s="70">
        <v>52.44</v>
      </c>
      <c r="N45" s="71">
        <f t="shared" si="2"/>
        <v>14022.9804</v>
      </c>
      <c r="O45" s="72"/>
      <c r="P45" s="73">
        <f>O45*J45</f>
        <v>0</v>
      </c>
      <c r="Q45" s="70">
        <f>O45+M45</f>
        <v>52.44</v>
      </c>
      <c r="R45" s="74">
        <f>Q45*J45</f>
        <v>14022.9804</v>
      </c>
      <c r="S45" s="75">
        <f>R45/K45</f>
        <v>1.0000000285246076</v>
      </c>
      <c r="T45" s="76">
        <f>H45-Q45</f>
        <v>0</v>
      </c>
      <c r="U45" s="77">
        <f>T45*J45</f>
        <v>0</v>
      </c>
      <c r="V45" s="78">
        <f>T45/H45</f>
        <v>0</v>
      </c>
    </row>
    <row r="46" spans="2:22" s="23" customFormat="1" ht="23" customHeight="1" x14ac:dyDescent="0.25">
      <c r="B46" s="22"/>
      <c r="D46" s="24" t="s">
        <v>27</v>
      </c>
      <c r="E46" s="36" t="s">
        <v>259</v>
      </c>
      <c r="F46" s="36" t="s">
        <v>260</v>
      </c>
      <c r="J46" s="26"/>
      <c r="K46" s="37">
        <f>SUM(K47)</f>
        <v>82.26</v>
      </c>
      <c r="L46" s="37">
        <f>SUM(L47)</f>
        <v>82.261110000000016</v>
      </c>
      <c r="N46" s="37">
        <f>SUM(N47)</f>
        <v>82.261110000000016</v>
      </c>
      <c r="P46" s="37">
        <f>SUM(P47)</f>
        <v>0</v>
      </c>
      <c r="R46" s="37">
        <f>SUM(R47)</f>
        <v>82.261110000000016</v>
      </c>
      <c r="U46" s="37">
        <f>SUM(U47)</f>
        <v>0</v>
      </c>
    </row>
    <row r="47" spans="2:22" s="5" customFormat="1" ht="24.15" customHeight="1" x14ac:dyDescent="0.35">
      <c r="B47" s="4"/>
      <c r="C47" s="28" t="s">
        <v>161</v>
      </c>
      <c r="D47" s="28" t="s">
        <v>32</v>
      </c>
      <c r="E47" s="29" t="s">
        <v>261</v>
      </c>
      <c r="F47" s="30" t="s">
        <v>262</v>
      </c>
      <c r="G47" s="31" t="s">
        <v>223</v>
      </c>
      <c r="H47" s="32">
        <v>6.9000000000000006E-2</v>
      </c>
      <c r="I47" s="32">
        <v>6.9000000000000006E-2</v>
      </c>
      <c r="J47" s="33">
        <v>1192.19</v>
      </c>
      <c r="K47" s="34">
        <f>ROUND(J47*H47,2)</f>
        <v>82.26</v>
      </c>
      <c r="L47" s="90">
        <f t="shared" si="1"/>
        <v>82.261110000000016</v>
      </c>
      <c r="M47" s="70">
        <v>6.9000000000000006E-2</v>
      </c>
      <c r="N47" s="71">
        <f t="shared" si="2"/>
        <v>82.261110000000016</v>
      </c>
      <c r="O47" s="72"/>
      <c r="P47" s="73">
        <f>O47*J47</f>
        <v>0</v>
      </c>
      <c r="Q47" s="70">
        <f>O47+M47</f>
        <v>6.9000000000000006E-2</v>
      </c>
      <c r="R47" s="74">
        <f>Q47*J47</f>
        <v>82.261110000000016</v>
      </c>
      <c r="S47" s="75">
        <f>R47/K47</f>
        <v>1.0000134938001459</v>
      </c>
      <c r="T47" s="76">
        <f>H47-Q47</f>
        <v>0</v>
      </c>
      <c r="U47" s="77">
        <f>T47*J47</f>
        <v>0</v>
      </c>
      <c r="V47" s="78">
        <f>T47/H47</f>
        <v>0</v>
      </c>
    </row>
    <row r="48" spans="2:22" s="5" customFormat="1" ht="6.9" customHeight="1" x14ac:dyDescent="0.35">
      <c r="B48" s="11"/>
      <c r="C48" s="12"/>
      <c r="D48" s="12"/>
      <c r="E48" s="12"/>
      <c r="F48" s="12"/>
      <c r="G48" s="12"/>
      <c r="H48" s="12"/>
      <c r="I48" s="12"/>
      <c r="J48" s="12"/>
      <c r="K48" s="12"/>
    </row>
  </sheetData>
  <autoFilter ref="K2:K49" xr:uid="{95F9F029-8A68-48F3-8A99-FE266BBDE709}"/>
  <mergeCells count="7">
    <mergeCell ref="T16:V16"/>
    <mergeCell ref="E10:H10"/>
    <mergeCell ref="E6:H6"/>
    <mergeCell ref="E8:H8"/>
    <mergeCell ref="M16:N16"/>
    <mergeCell ref="O16:P16"/>
    <mergeCell ref="Q16:S16"/>
  </mergeCells>
  <pageMargins left="0.70866141732283472" right="0.70866141732283472" top="0.78740157480314965" bottom="0.78740157480314965" header="0.31496062992125984" footer="0.31496062992125984"/>
  <pageSetup paperSize="9" scale="9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CA35-895F-4696-9696-5030740FE71A}">
  <sheetPr>
    <pageSetUpPr fitToPage="1"/>
  </sheetPr>
  <dimension ref="B2:V82"/>
  <sheetViews>
    <sheetView view="pageBreakPreview" topLeftCell="D63" zoomScaleNormal="100" zoomScaleSheetLayoutView="100" workbookViewId="0">
      <selection activeCell="J60" sqref="J60:J63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.453125" customWidth="1"/>
    <col min="16" max="16" width="12.08984375" customWidth="1"/>
    <col min="18" max="18" width="11.81640625" customWidth="1"/>
    <col min="21" max="21" width="12.26953125" customWidth="1"/>
  </cols>
  <sheetData>
    <row r="2" spans="2:1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12" s="5" customFormat="1" ht="24.9" customHeight="1" x14ac:dyDescent="0.35">
      <c r="B3" s="4"/>
      <c r="C3" s="2" t="s">
        <v>18</v>
      </c>
    </row>
    <row r="4" spans="2:12" s="5" customFormat="1" ht="6.9" customHeight="1" x14ac:dyDescent="0.35">
      <c r="B4" s="4"/>
    </row>
    <row r="5" spans="2:12" s="5" customFormat="1" ht="12" customHeight="1" x14ac:dyDescent="0.35">
      <c r="B5" s="4"/>
      <c r="C5" s="3" t="s">
        <v>1</v>
      </c>
    </row>
    <row r="6" spans="2:1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12" ht="12" customHeight="1" x14ac:dyDescent="0.35">
      <c r="B7" s="1"/>
      <c r="C7" s="3" t="s">
        <v>2</v>
      </c>
    </row>
    <row r="8" spans="2:12" ht="16.5" customHeight="1" x14ac:dyDescent="0.35">
      <c r="B8" s="1"/>
      <c r="E8" s="177" t="s">
        <v>67</v>
      </c>
      <c r="F8" s="186"/>
      <c r="G8" s="186"/>
      <c r="H8" s="186"/>
    </row>
    <row r="9" spans="2:12" ht="12" customHeight="1" x14ac:dyDescent="0.35">
      <c r="B9" s="1"/>
      <c r="C9" s="3" t="s">
        <v>4</v>
      </c>
    </row>
    <row r="10" spans="2:12" s="5" customFormat="1" ht="16.5" customHeight="1" x14ac:dyDescent="0.35">
      <c r="B10" s="4"/>
      <c r="E10" s="187" t="s">
        <v>79</v>
      </c>
      <c r="F10" s="183"/>
      <c r="G10" s="183"/>
      <c r="H10" s="183"/>
    </row>
    <row r="11" spans="2:12" s="5" customFormat="1" ht="12" customHeight="1" x14ac:dyDescent="0.35">
      <c r="B11" s="4"/>
      <c r="C11" s="3" t="s">
        <v>80</v>
      </c>
    </row>
    <row r="12" spans="2:12" s="5" customFormat="1" ht="16.5" customHeight="1" x14ac:dyDescent="0.35">
      <c r="B12" s="4"/>
      <c r="E12" s="169" t="s">
        <v>102</v>
      </c>
      <c r="F12" s="183"/>
      <c r="G12" s="183"/>
      <c r="H12" s="183"/>
    </row>
    <row r="13" spans="2:12" s="5" customFormat="1" ht="6.9" customHeight="1" x14ac:dyDescent="0.35">
      <c r="B13" s="4"/>
    </row>
    <row r="14" spans="2:12" s="5" customFormat="1" ht="12" customHeight="1" x14ac:dyDescent="0.35">
      <c r="B14" s="4"/>
      <c r="C14" s="3" t="s">
        <v>7</v>
      </c>
      <c r="F14" s="6" t="s">
        <v>8</v>
      </c>
      <c r="J14" s="3" t="s">
        <v>9</v>
      </c>
      <c r="K14" s="7" t="s">
        <v>1035</v>
      </c>
      <c r="L14" s="7"/>
    </row>
    <row r="15" spans="2:12" s="5" customFormat="1" ht="6.9" customHeight="1" x14ac:dyDescent="0.35">
      <c r="B15" s="4"/>
    </row>
    <row r="16" spans="2:12" s="5" customFormat="1" ht="15.15" customHeight="1" x14ac:dyDescent="0.35">
      <c r="B16" s="4"/>
      <c r="C16" s="3" t="s">
        <v>10</v>
      </c>
      <c r="F16" s="6" t="s">
        <v>11</v>
      </c>
      <c r="J16" s="3" t="s">
        <v>13</v>
      </c>
      <c r="K16" s="8" t="s">
        <v>14</v>
      </c>
      <c r="L16" s="8"/>
    </row>
    <row r="17" spans="2:22" s="5" customFormat="1" ht="15.15" customHeight="1" thickBot="1" x14ac:dyDescent="0.4">
      <c r="B17" s="4"/>
      <c r="C17" s="3" t="s">
        <v>12</v>
      </c>
      <c r="F17" s="6" t="s">
        <v>1036</v>
      </c>
      <c r="J17" s="3" t="s">
        <v>15</v>
      </c>
      <c r="K17" s="8"/>
      <c r="L17" s="8"/>
    </row>
    <row r="18" spans="2:22" s="5" customFormat="1" ht="24.5" customHeight="1" thickBot="1" x14ac:dyDescent="0.4">
      <c r="B18" s="4"/>
      <c r="M18" s="179" t="s">
        <v>1064</v>
      </c>
      <c r="N18" s="180"/>
      <c r="O18" s="179" t="s">
        <v>1068</v>
      </c>
      <c r="P18" s="180"/>
      <c r="Q18" s="179" t="s">
        <v>1066</v>
      </c>
      <c r="R18" s="181"/>
      <c r="S18" s="180"/>
      <c r="T18" s="179" t="s">
        <v>1067</v>
      </c>
      <c r="U18" s="181"/>
      <c r="V18" s="182"/>
    </row>
    <row r="19" spans="2:22" s="19" customFormat="1" ht="29.25" customHeight="1" x14ac:dyDescent="0.35">
      <c r="B19" s="15"/>
      <c r="C19" s="16" t="s">
        <v>19</v>
      </c>
      <c r="D19" s="17" t="s">
        <v>20</v>
      </c>
      <c r="E19" s="17" t="s">
        <v>21</v>
      </c>
      <c r="F19" s="17" t="s">
        <v>22</v>
      </c>
      <c r="G19" s="17" t="s">
        <v>23</v>
      </c>
      <c r="H19" s="17" t="s">
        <v>1121</v>
      </c>
      <c r="I19" s="17" t="s">
        <v>1122</v>
      </c>
      <c r="J19" s="17" t="s">
        <v>25</v>
      </c>
      <c r="K19" s="18" t="s">
        <v>17</v>
      </c>
      <c r="L19" s="18" t="s">
        <v>1123</v>
      </c>
      <c r="M19" s="57" t="s">
        <v>1069</v>
      </c>
      <c r="N19" s="58" t="s">
        <v>1070</v>
      </c>
      <c r="O19" s="57" t="s">
        <v>1069</v>
      </c>
      <c r="P19" s="59" t="s">
        <v>1070</v>
      </c>
      <c r="Q19" s="57" t="s">
        <v>1069</v>
      </c>
      <c r="R19" s="58" t="s">
        <v>1070</v>
      </c>
      <c r="S19" s="59" t="s">
        <v>1071</v>
      </c>
      <c r="T19" s="60" t="s">
        <v>1069</v>
      </c>
      <c r="U19" s="58" t="s">
        <v>1070</v>
      </c>
      <c r="V19" s="61" t="s">
        <v>1071</v>
      </c>
    </row>
    <row r="20" spans="2:22" s="5" customFormat="1" ht="23" customHeight="1" x14ac:dyDescent="0.35">
      <c r="B20" s="4"/>
      <c r="C20" s="20" t="s">
        <v>26</v>
      </c>
      <c r="K20" s="21">
        <f>SUM(K21,K33,K38,K41,K45,K52,K58,K64,K68)</f>
        <v>589958.73</v>
      </c>
      <c r="L20" s="21">
        <f>SUM(L21,L33,L38,L41,L45,L52,L58,L64,L68)</f>
        <v>836417.46000000008</v>
      </c>
      <c r="M20" s="4"/>
      <c r="N20" s="21">
        <f>SUM(N21,N33,N38,N41,N45,N52,N58,N64)</f>
        <v>233696.3</v>
      </c>
      <c r="O20" s="63"/>
      <c r="P20" s="21">
        <f>SUM(P21,P33,P38,P41,P45,P52,P58,P64)</f>
        <v>33790.160000000003</v>
      </c>
      <c r="Q20" s="64"/>
      <c r="R20" s="21">
        <f>SUM(R21,R33,R38,R41,R45,R52,R58,R64)</f>
        <v>267486.45999999996</v>
      </c>
      <c r="S20" s="64"/>
      <c r="T20" s="63"/>
      <c r="U20" s="21">
        <f>SUM(U21,U33,U38,U41,U45,U52,U58,U64)</f>
        <v>322472.27</v>
      </c>
    </row>
    <row r="21" spans="2:22" s="23" customFormat="1" ht="23" customHeight="1" x14ac:dyDescent="0.25">
      <c r="B21" s="22"/>
      <c r="D21" s="24" t="s">
        <v>27</v>
      </c>
      <c r="E21" s="36" t="s">
        <v>81</v>
      </c>
      <c r="F21" s="36" t="s">
        <v>103</v>
      </c>
      <c r="J21" s="26"/>
      <c r="K21" s="37">
        <f>SUM(K22:K32)</f>
        <v>157434.91</v>
      </c>
      <c r="L21" s="37">
        <f>SUM(L22:L32)</f>
        <v>76657.820000000022</v>
      </c>
      <c r="M21" s="65"/>
      <c r="N21" s="37">
        <f>SUM(N22:N32)</f>
        <v>35977.769999999997</v>
      </c>
      <c r="O21" s="67"/>
      <c r="P21" s="37">
        <f>SUM(P22:P32)</f>
        <v>0</v>
      </c>
      <c r="Q21" s="68"/>
      <c r="R21" s="37">
        <f>SUM(R22:R32)</f>
        <v>35977.769999999997</v>
      </c>
      <c r="S21" s="68"/>
      <c r="T21" s="67"/>
      <c r="U21" s="37">
        <f>SUM(U22:U32)</f>
        <v>121457.14</v>
      </c>
      <c r="V21" s="69"/>
    </row>
    <row r="22" spans="2:22" s="5" customFormat="1" ht="16.5" customHeight="1" x14ac:dyDescent="0.35">
      <c r="B22" s="4"/>
      <c r="C22" s="28" t="s">
        <v>31</v>
      </c>
      <c r="D22" s="28" t="s">
        <v>32</v>
      </c>
      <c r="E22" s="29" t="s">
        <v>104</v>
      </c>
      <c r="F22" s="30" t="s">
        <v>105</v>
      </c>
      <c r="G22" s="31" t="s">
        <v>73</v>
      </c>
      <c r="H22" s="32">
        <v>3</v>
      </c>
      <c r="I22" s="32">
        <v>5</v>
      </c>
      <c r="J22" s="33">
        <v>8136.01</v>
      </c>
      <c r="K22" s="34">
        <f t="shared" ref="K22:K32" si="0">ROUND(J22*H22,2)</f>
        <v>24408.03</v>
      </c>
      <c r="L22" s="90">
        <f>I22*J22</f>
        <v>40680.050000000003</v>
      </c>
      <c r="M22" s="70">
        <v>0</v>
      </c>
      <c r="N22" s="71">
        <f>M22*J22</f>
        <v>0</v>
      </c>
      <c r="O22" s="72"/>
      <c r="P22" s="73">
        <f t="shared" ref="P22:P32" si="1">O22*J22</f>
        <v>0</v>
      </c>
      <c r="Q22" s="70">
        <f>O22+M22</f>
        <v>0</v>
      </c>
      <c r="R22" s="74">
        <f>Q22*J22</f>
        <v>0</v>
      </c>
      <c r="S22" s="75">
        <f>R22/K22</f>
        <v>0</v>
      </c>
      <c r="T22" s="76">
        <f>H22-Q22</f>
        <v>3</v>
      </c>
      <c r="U22" s="77">
        <f>T22*J22</f>
        <v>24408.03</v>
      </c>
      <c r="V22" s="78">
        <f>T22/H22</f>
        <v>1</v>
      </c>
    </row>
    <row r="23" spans="2:22" s="5" customFormat="1" ht="24.15" customHeight="1" x14ac:dyDescent="0.35">
      <c r="B23" s="4"/>
      <c r="C23" s="28" t="s">
        <v>0</v>
      </c>
      <c r="D23" s="28" t="s">
        <v>32</v>
      </c>
      <c r="E23" s="29" t="s">
        <v>106</v>
      </c>
      <c r="F23" s="30" t="s">
        <v>107</v>
      </c>
      <c r="G23" s="31" t="s">
        <v>73</v>
      </c>
      <c r="H23" s="32">
        <v>1</v>
      </c>
      <c r="I23" s="32"/>
      <c r="J23" s="33">
        <v>11889.13</v>
      </c>
      <c r="K23" s="158">
        <f t="shared" si="0"/>
        <v>11889.13</v>
      </c>
      <c r="L23" s="90">
        <f t="shared" ref="L23:L66" si="2">I23*J23</f>
        <v>0</v>
      </c>
      <c r="M23" s="70">
        <v>0</v>
      </c>
      <c r="N23" s="71">
        <f t="shared" ref="N23:N66" si="3">M23*J23</f>
        <v>0</v>
      </c>
      <c r="O23" s="72"/>
      <c r="P23" s="73">
        <f t="shared" si="1"/>
        <v>0</v>
      </c>
      <c r="Q23" s="70">
        <f t="shared" ref="Q23:Q32" si="4">O23+M23</f>
        <v>0</v>
      </c>
      <c r="R23" s="74">
        <f t="shared" ref="R23:R32" si="5">Q23*J23</f>
        <v>0</v>
      </c>
      <c r="S23" s="75">
        <f t="shared" ref="S23:S32" si="6">R23/K23</f>
        <v>0</v>
      </c>
      <c r="T23" s="76">
        <f t="shared" ref="T23:T32" si="7">H23-Q23</f>
        <v>1</v>
      </c>
      <c r="U23" s="77">
        <f t="shared" ref="U23:U32" si="8">T23*J23</f>
        <v>11889.13</v>
      </c>
      <c r="V23" s="78">
        <f t="shared" ref="V23:V32" si="9">T23/H23</f>
        <v>1</v>
      </c>
    </row>
    <row r="24" spans="2:22" s="5" customFormat="1" ht="24.15" customHeight="1" x14ac:dyDescent="0.35">
      <c r="B24" s="4"/>
      <c r="C24" s="28" t="s">
        <v>38</v>
      </c>
      <c r="D24" s="28" t="s">
        <v>32</v>
      </c>
      <c r="E24" s="29" t="s">
        <v>108</v>
      </c>
      <c r="F24" s="30" t="s">
        <v>109</v>
      </c>
      <c r="G24" s="31" t="s">
        <v>73</v>
      </c>
      <c r="H24" s="32">
        <v>4</v>
      </c>
      <c r="I24" s="32"/>
      <c r="J24" s="33">
        <v>12197.99</v>
      </c>
      <c r="K24" s="158">
        <f t="shared" si="0"/>
        <v>48791.96</v>
      </c>
      <c r="L24" s="90">
        <f t="shared" si="2"/>
        <v>0</v>
      </c>
      <c r="M24" s="70">
        <v>0</v>
      </c>
      <c r="N24" s="71">
        <f t="shared" si="3"/>
        <v>0</v>
      </c>
      <c r="O24" s="72"/>
      <c r="P24" s="73">
        <f t="shared" si="1"/>
        <v>0</v>
      </c>
      <c r="Q24" s="70">
        <f t="shared" si="4"/>
        <v>0</v>
      </c>
      <c r="R24" s="74">
        <f t="shared" si="5"/>
        <v>0</v>
      </c>
      <c r="S24" s="75">
        <f t="shared" si="6"/>
        <v>0</v>
      </c>
      <c r="T24" s="76">
        <f t="shared" si="7"/>
        <v>4</v>
      </c>
      <c r="U24" s="77">
        <f t="shared" si="8"/>
        <v>48791.96</v>
      </c>
      <c r="V24" s="78">
        <f t="shared" si="9"/>
        <v>1</v>
      </c>
    </row>
    <row r="25" spans="2:22" s="5" customFormat="1" ht="16.5" customHeight="1" x14ac:dyDescent="0.35">
      <c r="B25" s="4"/>
      <c r="C25" s="28" t="s">
        <v>41</v>
      </c>
      <c r="D25" s="28" t="s">
        <v>32</v>
      </c>
      <c r="E25" s="29" t="s">
        <v>110</v>
      </c>
      <c r="F25" s="30" t="s">
        <v>111</v>
      </c>
      <c r="G25" s="31" t="s">
        <v>73</v>
      </c>
      <c r="H25" s="32">
        <v>4</v>
      </c>
      <c r="I25" s="32"/>
      <c r="J25" s="33">
        <v>8021.02</v>
      </c>
      <c r="K25" s="158">
        <f t="shared" si="0"/>
        <v>32084.080000000002</v>
      </c>
      <c r="L25" s="90">
        <f t="shared" si="2"/>
        <v>0</v>
      </c>
      <c r="M25" s="70">
        <v>0</v>
      </c>
      <c r="N25" s="71">
        <f t="shared" si="3"/>
        <v>0</v>
      </c>
      <c r="O25" s="72"/>
      <c r="P25" s="73">
        <f t="shared" si="1"/>
        <v>0</v>
      </c>
      <c r="Q25" s="70">
        <f t="shared" si="4"/>
        <v>0</v>
      </c>
      <c r="R25" s="74">
        <f t="shared" si="5"/>
        <v>0</v>
      </c>
      <c r="S25" s="75">
        <f t="shared" si="6"/>
        <v>0</v>
      </c>
      <c r="T25" s="76">
        <f t="shared" si="7"/>
        <v>4</v>
      </c>
      <c r="U25" s="77">
        <f t="shared" si="8"/>
        <v>32084.080000000002</v>
      </c>
      <c r="V25" s="78">
        <f t="shared" si="9"/>
        <v>1</v>
      </c>
    </row>
    <row r="26" spans="2:22" s="5" customFormat="1" ht="16.5" customHeight="1" x14ac:dyDescent="0.35">
      <c r="B26" s="4"/>
      <c r="C26" s="28" t="s">
        <v>30</v>
      </c>
      <c r="D26" s="28" t="s">
        <v>32</v>
      </c>
      <c r="E26" s="29" t="s">
        <v>112</v>
      </c>
      <c r="F26" s="30" t="s">
        <v>113</v>
      </c>
      <c r="G26" s="31" t="s">
        <v>73</v>
      </c>
      <c r="H26" s="32">
        <v>1</v>
      </c>
      <c r="I26" s="32"/>
      <c r="J26" s="33">
        <v>1101.74</v>
      </c>
      <c r="K26" s="158">
        <f t="shared" si="0"/>
        <v>1101.74</v>
      </c>
      <c r="L26" s="90">
        <f t="shared" si="2"/>
        <v>0</v>
      </c>
      <c r="M26" s="70">
        <v>0</v>
      </c>
      <c r="N26" s="71">
        <f t="shared" si="3"/>
        <v>0</v>
      </c>
      <c r="O26" s="72"/>
      <c r="P26" s="73">
        <f t="shared" si="1"/>
        <v>0</v>
      </c>
      <c r="Q26" s="70">
        <f t="shared" si="4"/>
        <v>0</v>
      </c>
      <c r="R26" s="74">
        <f t="shared" si="5"/>
        <v>0</v>
      </c>
      <c r="S26" s="75">
        <f t="shared" si="6"/>
        <v>0</v>
      </c>
      <c r="T26" s="76">
        <f t="shared" si="7"/>
        <v>1</v>
      </c>
      <c r="U26" s="77">
        <f t="shared" si="8"/>
        <v>1101.74</v>
      </c>
      <c r="V26" s="78">
        <f t="shared" si="9"/>
        <v>1</v>
      </c>
    </row>
    <row r="27" spans="2:22" s="5" customFormat="1" ht="16.5" customHeight="1" x14ac:dyDescent="0.35">
      <c r="B27" s="4"/>
      <c r="C27" s="28" t="s">
        <v>46</v>
      </c>
      <c r="D27" s="28" t="s">
        <v>32</v>
      </c>
      <c r="E27" s="29" t="s">
        <v>114</v>
      </c>
      <c r="F27" s="30" t="s">
        <v>115</v>
      </c>
      <c r="G27" s="31" t="s">
        <v>73</v>
      </c>
      <c r="H27" s="32">
        <v>4</v>
      </c>
      <c r="I27" s="32"/>
      <c r="J27" s="33">
        <v>795.55</v>
      </c>
      <c r="K27" s="158">
        <f t="shared" si="0"/>
        <v>3182.2</v>
      </c>
      <c r="L27" s="90">
        <f t="shared" si="2"/>
        <v>0</v>
      </c>
      <c r="M27" s="70">
        <v>0</v>
      </c>
      <c r="N27" s="71">
        <f t="shared" si="3"/>
        <v>0</v>
      </c>
      <c r="O27" s="72"/>
      <c r="P27" s="73">
        <f t="shared" si="1"/>
        <v>0</v>
      </c>
      <c r="Q27" s="70">
        <f t="shared" si="4"/>
        <v>0</v>
      </c>
      <c r="R27" s="74">
        <f t="shared" si="5"/>
        <v>0</v>
      </c>
      <c r="S27" s="75">
        <f t="shared" si="6"/>
        <v>0</v>
      </c>
      <c r="T27" s="76">
        <f t="shared" si="7"/>
        <v>4</v>
      </c>
      <c r="U27" s="77">
        <f t="shared" si="8"/>
        <v>3182.2</v>
      </c>
      <c r="V27" s="78">
        <f t="shared" si="9"/>
        <v>1</v>
      </c>
    </row>
    <row r="28" spans="2:22" s="5" customFormat="1" ht="21.75" customHeight="1" x14ac:dyDescent="0.35">
      <c r="B28" s="4"/>
      <c r="C28" s="28" t="s">
        <v>49</v>
      </c>
      <c r="D28" s="28" t="s">
        <v>32</v>
      </c>
      <c r="E28" s="29" t="s">
        <v>116</v>
      </c>
      <c r="F28" s="30" t="s">
        <v>117</v>
      </c>
      <c r="G28" s="31" t="s">
        <v>73</v>
      </c>
      <c r="H28" s="32">
        <v>4</v>
      </c>
      <c r="I28" s="32">
        <v>4</v>
      </c>
      <c r="J28" s="33">
        <v>6451.31</v>
      </c>
      <c r="K28" s="34">
        <f t="shared" si="0"/>
        <v>25805.24</v>
      </c>
      <c r="L28" s="90">
        <f t="shared" si="2"/>
        <v>25805.24</v>
      </c>
      <c r="M28" s="70">
        <v>4</v>
      </c>
      <c r="N28" s="71">
        <f t="shared" si="3"/>
        <v>25805.24</v>
      </c>
      <c r="O28" s="72"/>
      <c r="P28" s="73">
        <f t="shared" si="1"/>
        <v>0</v>
      </c>
      <c r="Q28" s="70">
        <f t="shared" si="4"/>
        <v>4</v>
      </c>
      <c r="R28" s="74">
        <f t="shared" si="5"/>
        <v>25805.24</v>
      </c>
      <c r="S28" s="75">
        <f t="shared" si="6"/>
        <v>1</v>
      </c>
      <c r="T28" s="76">
        <f t="shared" si="7"/>
        <v>0</v>
      </c>
      <c r="U28" s="77">
        <f t="shared" si="8"/>
        <v>0</v>
      </c>
      <c r="V28" s="78">
        <f t="shared" si="9"/>
        <v>0</v>
      </c>
    </row>
    <row r="29" spans="2:22" s="5" customFormat="1" ht="16.5" customHeight="1" x14ac:dyDescent="0.35">
      <c r="B29" s="4"/>
      <c r="C29" s="28" t="s">
        <v>52</v>
      </c>
      <c r="D29" s="28" t="s">
        <v>32</v>
      </c>
      <c r="E29" s="29" t="s">
        <v>118</v>
      </c>
      <c r="F29" s="30" t="s">
        <v>119</v>
      </c>
      <c r="G29" s="31" t="s">
        <v>120</v>
      </c>
      <c r="H29" s="32">
        <v>74</v>
      </c>
      <c r="I29" s="32">
        <v>74</v>
      </c>
      <c r="J29" s="33">
        <v>69.53</v>
      </c>
      <c r="K29" s="34">
        <f t="shared" si="0"/>
        <v>5145.22</v>
      </c>
      <c r="L29" s="90">
        <f t="shared" si="2"/>
        <v>5145.22</v>
      </c>
      <c r="M29" s="70">
        <v>74</v>
      </c>
      <c r="N29" s="71">
        <f t="shared" si="3"/>
        <v>5145.22</v>
      </c>
      <c r="O29" s="72"/>
      <c r="P29" s="73">
        <f t="shared" si="1"/>
        <v>0</v>
      </c>
      <c r="Q29" s="70">
        <f t="shared" si="4"/>
        <v>74</v>
      </c>
      <c r="R29" s="74">
        <f t="shared" si="5"/>
        <v>5145.22</v>
      </c>
      <c r="S29" s="75">
        <f t="shared" si="6"/>
        <v>1</v>
      </c>
      <c r="T29" s="76">
        <f t="shared" si="7"/>
        <v>0</v>
      </c>
      <c r="U29" s="77">
        <f t="shared" si="8"/>
        <v>0</v>
      </c>
      <c r="V29" s="78">
        <f t="shared" si="9"/>
        <v>0</v>
      </c>
    </row>
    <row r="30" spans="2:22" s="5" customFormat="1" ht="16.5" customHeight="1" x14ac:dyDescent="0.35">
      <c r="B30" s="4"/>
      <c r="C30" s="28" t="s">
        <v>55</v>
      </c>
      <c r="D30" s="28" t="s">
        <v>32</v>
      </c>
      <c r="E30" s="29" t="s">
        <v>121</v>
      </c>
      <c r="F30" s="30" t="s">
        <v>122</v>
      </c>
      <c r="G30" s="31" t="s">
        <v>73</v>
      </c>
      <c r="H30" s="32">
        <v>8</v>
      </c>
      <c r="I30" s="32">
        <v>8</v>
      </c>
      <c r="J30" s="33">
        <v>153.76</v>
      </c>
      <c r="K30" s="34">
        <f t="shared" si="0"/>
        <v>1230.08</v>
      </c>
      <c r="L30" s="90">
        <f t="shared" si="2"/>
        <v>1230.08</v>
      </c>
      <c r="M30" s="70">
        <v>8</v>
      </c>
      <c r="N30" s="71">
        <f t="shared" si="3"/>
        <v>1230.08</v>
      </c>
      <c r="O30" s="72"/>
      <c r="P30" s="73">
        <f t="shared" si="1"/>
        <v>0</v>
      </c>
      <c r="Q30" s="70">
        <f t="shared" si="4"/>
        <v>8</v>
      </c>
      <c r="R30" s="74">
        <f t="shared" si="5"/>
        <v>1230.08</v>
      </c>
      <c r="S30" s="75">
        <f t="shared" si="6"/>
        <v>1</v>
      </c>
      <c r="T30" s="76">
        <f t="shared" si="7"/>
        <v>0</v>
      </c>
      <c r="U30" s="77">
        <f t="shared" si="8"/>
        <v>0</v>
      </c>
      <c r="V30" s="78">
        <f t="shared" si="9"/>
        <v>0</v>
      </c>
    </row>
    <row r="31" spans="2:22" s="5" customFormat="1" ht="16.5" customHeight="1" x14ac:dyDescent="0.35">
      <c r="B31" s="4"/>
      <c r="C31" s="28" t="s">
        <v>58</v>
      </c>
      <c r="D31" s="28" t="s">
        <v>32</v>
      </c>
      <c r="E31" s="29" t="s">
        <v>123</v>
      </c>
      <c r="F31" s="30" t="s">
        <v>124</v>
      </c>
      <c r="G31" s="31" t="s">
        <v>73</v>
      </c>
      <c r="H31" s="32">
        <v>4</v>
      </c>
      <c r="I31" s="32">
        <v>4</v>
      </c>
      <c r="J31" s="33">
        <v>648.47</v>
      </c>
      <c r="K31" s="34">
        <f t="shared" si="0"/>
        <v>2593.88</v>
      </c>
      <c r="L31" s="90">
        <f t="shared" si="2"/>
        <v>2593.88</v>
      </c>
      <c r="M31" s="70">
        <v>4</v>
      </c>
      <c r="N31" s="71">
        <f t="shared" si="3"/>
        <v>2593.88</v>
      </c>
      <c r="O31" s="72"/>
      <c r="P31" s="73">
        <f t="shared" si="1"/>
        <v>0</v>
      </c>
      <c r="Q31" s="70">
        <f t="shared" si="4"/>
        <v>4</v>
      </c>
      <c r="R31" s="74">
        <f t="shared" si="5"/>
        <v>2593.88</v>
      </c>
      <c r="S31" s="75">
        <f t="shared" si="6"/>
        <v>1</v>
      </c>
      <c r="T31" s="76">
        <f t="shared" si="7"/>
        <v>0</v>
      </c>
      <c r="U31" s="77">
        <f t="shared" si="8"/>
        <v>0</v>
      </c>
      <c r="V31" s="78">
        <f t="shared" si="9"/>
        <v>0</v>
      </c>
    </row>
    <row r="32" spans="2:22" s="5" customFormat="1" ht="16.5" customHeight="1" x14ac:dyDescent="0.35">
      <c r="B32" s="4"/>
      <c r="C32" s="28" t="s">
        <v>61</v>
      </c>
      <c r="D32" s="28" t="s">
        <v>32</v>
      </c>
      <c r="E32" s="29" t="s">
        <v>125</v>
      </c>
      <c r="F32" s="30" t="s">
        <v>126</v>
      </c>
      <c r="G32" s="31" t="s">
        <v>35</v>
      </c>
      <c r="H32" s="32">
        <v>1</v>
      </c>
      <c r="I32" s="32">
        <v>1</v>
      </c>
      <c r="J32" s="33">
        <v>1203.3499999999999</v>
      </c>
      <c r="K32" s="34">
        <f t="shared" si="0"/>
        <v>1203.3499999999999</v>
      </c>
      <c r="L32" s="90">
        <f t="shared" si="2"/>
        <v>1203.3499999999999</v>
      </c>
      <c r="M32" s="70">
        <v>1</v>
      </c>
      <c r="N32" s="71">
        <f t="shared" si="3"/>
        <v>1203.3499999999999</v>
      </c>
      <c r="O32" s="72"/>
      <c r="P32" s="73">
        <f t="shared" si="1"/>
        <v>0</v>
      </c>
      <c r="Q32" s="70">
        <f t="shared" si="4"/>
        <v>1</v>
      </c>
      <c r="R32" s="74">
        <f t="shared" si="5"/>
        <v>1203.3499999999999</v>
      </c>
      <c r="S32" s="75">
        <f t="shared" si="6"/>
        <v>1</v>
      </c>
      <c r="T32" s="76">
        <f t="shared" si="7"/>
        <v>0</v>
      </c>
      <c r="U32" s="77">
        <f t="shared" si="8"/>
        <v>0</v>
      </c>
      <c r="V32" s="78">
        <f t="shared" si="9"/>
        <v>0</v>
      </c>
    </row>
    <row r="33" spans="2:22" s="23" customFormat="1" ht="23" customHeight="1" x14ac:dyDescent="0.25">
      <c r="B33" s="22"/>
      <c r="D33" s="24" t="s">
        <v>27</v>
      </c>
      <c r="E33" s="36" t="s">
        <v>90</v>
      </c>
      <c r="F33" s="36" t="s">
        <v>127</v>
      </c>
      <c r="J33" s="26"/>
      <c r="K33" s="37">
        <f>SUM(K34:K37)</f>
        <v>114859.70000000001</v>
      </c>
      <c r="L33" s="37">
        <f>SUM(L34:L37)</f>
        <v>114859.69999999998</v>
      </c>
      <c r="N33" s="37">
        <f>SUM(N34:N37)</f>
        <v>114859.69999999998</v>
      </c>
      <c r="P33" s="37">
        <f>SUM(P34:P37)</f>
        <v>0</v>
      </c>
      <c r="R33" s="37">
        <f>SUM(R34:R37)</f>
        <v>114859.69999999998</v>
      </c>
      <c r="U33" s="37">
        <f>SUM(U34:U37)</f>
        <v>0</v>
      </c>
    </row>
    <row r="34" spans="2:22" s="5" customFormat="1" ht="16.5" customHeight="1" x14ac:dyDescent="0.35">
      <c r="B34" s="4"/>
      <c r="C34" s="28" t="s">
        <v>64</v>
      </c>
      <c r="D34" s="28" t="s">
        <v>32</v>
      </c>
      <c r="E34" s="29" t="s">
        <v>128</v>
      </c>
      <c r="F34" s="30" t="s">
        <v>129</v>
      </c>
      <c r="G34" s="31" t="s">
        <v>120</v>
      </c>
      <c r="H34" s="32">
        <v>115</v>
      </c>
      <c r="I34" s="32">
        <v>115</v>
      </c>
      <c r="J34" s="33">
        <v>514.77</v>
      </c>
      <c r="K34" s="34">
        <f>ROUND(J34*H34,2)</f>
        <v>59198.55</v>
      </c>
      <c r="L34" s="90">
        <f t="shared" si="2"/>
        <v>59198.549999999996</v>
      </c>
      <c r="M34" s="70">
        <v>115</v>
      </c>
      <c r="N34" s="71">
        <f t="shared" si="3"/>
        <v>59198.549999999996</v>
      </c>
      <c r="O34" s="72"/>
      <c r="P34" s="73">
        <f>O34*J34</f>
        <v>0</v>
      </c>
      <c r="Q34" s="70">
        <f>O34+M34</f>
        <v>115</v>
      </c>
      <c r="R34" s="74">
        <f>Q34*J34</f>
        <v>59198.549999999996</v>
      </c>
      <c r="S34" s="75">
        <f>R34/K34</f>
        <v>0.99999999999999989</v>
      </c>
      <c r="T34" s="76">
        <f>H34-Q34</f>
        <v>0</v>
      </c>
      <c r="U34" s="77">
        <f>T34*J34</f>
        <v>0</v>
      </c>
      <c r="V34" s="78">
        <f>T34/H34</f>
        <v>0</v>
      </c>
    </row>
    <row r="35" spans="2:22" s="5" customFormat="1" ht="21.75" customHeight="1" x14ac:dyDescent="0.35">
      <c r="B35" s="4"/>
      <c r="C35" s="28" t="s">
        <v>130</v>
      </c>
      <c r="D35" s="28" t="s">
        <v>32</v>
      </c>
      <c r="E35" s="29" t="s">
        <v>131</v>
      </c>
      <c r="F35" s="30" t="s">
        <v>132</v>
      </c>
      <c r="G35" s="31" t="s">
        <v>120</v>
      </c>
      <c r="H35" s="32">
        <v>115</v>
      </c>
      <c r="I35" s="32">
        <v>115</v>
      </c>
      <c r="J35" s="33">
        <v>98.94</v>
      </c>
      <c r="K35" s="34">
        <f>ROUND(J35*H35,2)</f>
        <v>11378.1</v>
      </c>
      <c r="L35" s="90">
        <f t="shared" si="2"/>
        <v>11378.1</v>
      </c>
      <c r="M35" s="70">
        <v>115</v>
      </c>
      <c r="N35" s="71">
        <f t="shared" si="3"/>
        <v>11378.1</v>
      </c>
      <c r="O35" s="72"/>
      <c r="P35" s="73">
        <f>O35*J35</f>
        <v>0</v>
      </c>
      <c r="Q35" s="70">
        <f>O35+M35</f>
        <v>115</v>
      </c>
      <c r="R35" s="74">
        <f>Q35*J35</f>
        <v>11378.1</v>
      </c>
      <c r="S35" s="75">
        <f>R35/K35</f>
        <v>1</v>
      </c>
      <c r="T35" s="76">
        <f>H35-Q35</f>
        <v>0</v>
      </c>
      <c r="U35" s="77">
        <f>T35*J35</f>
        <v>0</v>
      </c>
      <c r="V35" s="78">
        <f>T35/H35</f>
        <v>0</v>
      </c>
    </row>
    <row r="36" spans="2:22" s="5" customFormat="1" ht="16.5" customHeight="1" x14ac:dyDescent="0.35">
      <c r="B36" s="4"/>
      <c r="C36" s="28" t="s">
        <v>133</v>
      </c>
      <c r="D36" s="28" t="s">
        <v>32</v>
      </c>
      <c r="E36" s="29" t="s">
        <v>134</v>
      </c>
      <c r="F36" s="30" t="s">
        <v>135</v>
      </c>
      <c r="G36" s="31" t="s">
        <v>120</v>
      </c>
      <c r="H36" s="32">
        <v>115</v>
      </c>
      <c r="I36" s="32">
        <v>115</v>
      </c>
      <c r="J36" s="33">
        <v>30.75</v>
      </c>
      <c r="K36" s="34">
        <f>ROUND(J36*H36,2)</f>
        <v>3536.25</v>
      </c>
      <c r="L36" s="90">
        <f t="shared" si="2"/>
        <v>3536.25</v>
      </c>
      <c r="M36" s="70">
        <v>115</v>
      </c>
      <c r="N36" s="71">
        <f t="shared" si="3"/>
        <v>3536.25</v>
      </c>
      <c r="O36" s="72"/>
      <c r="P36" s="73">
        <f>O36*J36</f>
        <v>0</v>
      </c>
      <c r="Q36" s="70">
        <f>O36+M36</f>
        <v>115</v>
      </c>
      <c r="R36" s="74">
        <f>Q36*J36</f>
        <v>3536.25</v>
      </c>
      <c r="S36" s="75">
        <f>R36/K36</f>
        <v>1</v>
      </c>
      <c r="T36" s="76">
        <f>H36-Q36</f>
        <v>0</v>
      </c>
      <c r="U36" s="77">
        <f>T36*J36</f>
        <v>0</v>
      </c>
      <c r="V36" s="78">
        <f>T36/H36</f>
        <v>0</v>
      </c>
    </row>
    <row r="37" spans="2:22" s="5" customFormat="1" ht="16.5" customHeight="1" x14ac:dyDescent="0.35">
      <c r="B37" s="4"/>
      <c r="C37" s="28" t="s">
        <v>136</v>
      </c>
      <c r="D37" s="28" t="s">
        <v>32</v>
      </c>
      <c r="E37" s="29" t="s">
        <v>137</v>
      </c>
      <c r="F37" s="30" t="s">
        <v>138</v>
      </c>
      <c r="G37" s="31" t="s">
        <v>120</v>
      </c>
      <c r="H37" s="32">
        <v>115</v>
      </c>
      <c r="I37" s="32">
        <v>115</v>
      </c>
      <c r="J37" s="33">
        <v>354.32</v>
      </c>
      <c r="K37" s="34">
        <f>ROUND(J37*H37,2)</f>
        <v>40746.800000000003</v>
      </c>
      <c r="L37" s="90">
        <f t="shared" si="2"/>
        <v>40746.799999999996</v>
      </c>
      <c r="M37" s="70">
        <v>115</v>
      </c>
      <c r="N37" s="71">
        <f t="shared" si="3"/>
        <v>40746.799999999996</v>
      </c>
      <c r="O37" s="72"/>
      <c r="P37" s="73">
        <f>O37*J37</f>
        <v>0</v>
      </c>
      <c r="Q37" s="70">
        <f>O37+M37</f>
        <v>115</v>
      </c>
      <c r="R37" s="74">
        <f>Q37*J37</f>
        <v>40746.799999999996</v>
      </c>
      <c r="S37" s="75">
        <f>R37/K37</f>
        <v>0.99999999999999978</v>
      </c>
      <c r="T37" s="76">
        <f>H37-Q37</f>
        <v>0</v>
      </c>
      <c r="U37" s="77">
        <f>T37*J37</f>
        <v>0</v>
      </c>
      <c r="V37" s="78">
        <f>T37/H37</f>
        <v>0</v>
      </c>
    </row>
    <row r="38" spans="2:22" s="23" customFormat="1" ht="23" customHeight="1" x14ac:dyDescent="0.25">
      <c r="B38" s="22"/>
      <c r="D38" s="24" t="s">
        <v>27</v>
      </c>
      <c r="E38" s="36" t="s">
        <v>139</v>
      </c>
      <c r="F38" s="36" t="s">
        <v>140</v>
      </c>
      <c r="J38" s="26"/>
      <c r="K38" s="37">
        <f>SUM(K39:K40)</f>
        <v>5348.24</v>
      </c>
      <c r="L38" s="37">
        <f>SUM(L39:L40)</f>
        <v>5348.24</v>
      </c>
      <c r="N38" s="37">
        <f>SUM(N39:N40)</f>
        <v>3342.6499999999996</v>
      </c>
      <c r="P38" s="37">
        <f>SUM(P39:P40)</f>
        <v>0</v>
      </c>
      <c r="R38" s="37">
        <f>SUM(R39:R40)</f>
        <v>3342.6499999999996</v>
      </c>
      <c r="U38" s="37">
        <f>SUM(U39:U40)</f>
        <v>2005.59</v>
      </c>
    </row>
    <row r="39" spans="2:22" s="5" customFormat="1" ht="16.5" customHeight="1" x14ac:dyDescent="0.35">
      <c r="B39" s="4"/>
      <c r="C39" s="28" t="s">
        <v>74</v>
      </c>
      <c r="D39" s="28" t="s">
        <v>32</v>
      </c>
      <c r="E39" s="29" t="s">
        <v>141</v>
      </c>
      <c r="F39" s="30" t="s">
        <v>142</v>
      </c>
      <c r="G39" s="31" t="s">
        <v>94</v>
      </c>
      <c r="H39" s="32">
        <v>3</v>
      </c>
      <c r="I39" s="32">
        <v>3</v>
      </c>
      <c r="J39" s="33">
        <v>668.53</v>
      </c>
      <c r="K39" s="34">
        <f>ROUND(J39*H39,2)</f>
        <v>2005.59</v>
      </c>
      <c r="L39" s="90">
        <f t="shared" si="2"/>
        <v>2005.59</v>
      </c>
      <c r="M39" s="70">
        <v>2</v>
      </c>
      <c r="N39" s="71">
        <f t="shared" si="3"/>
        <v>1337.06</v>
      </c>
      <c r="O39" s="72"/>
      <c r="P39" s="73">
        <f>O39*J39</f>
        <v>0</v>
      </c>
      <c r="Q39" s="70">
        <f>O39+M39</f>
        <v>2</v>
      </c>
      <c r="R39" s="74">
        <f>Q39*J39</f>
        <v>1337.06</v>
      </c>
      <c r="S39" s="75">
        <f>R39/K39</f>
        <v>0.66666666666666663</v>
      </c>
      <c r="T39" s="76">
        <f>H39-Q39</f>
        <v>1</v>
      </c>
      <c r="U39" s="77">
        <f>T39*J39</f>
        <v>668.53</v>
      </c>
      <c r="V39" s="78">
        <f>T39/H39</f>
        <v>0.33333333333333331</v>
      </c>
    </row>
    <row r="40" spans="2:22" s="5" customFormat="1" ht="16.5" customHeight="1" x14ac:dyDescent="0.35">
      <c r="B40" s="4"/>
      <c r="C40" s="28" t="s">
        <v>143</v>
      </c>
      <c r="D40" s="28" t="s">
        <v>32</v>
      </c>
      <c r="E40" s="29" t="s">
        <v>144</v>
      </c>
      <c r="F40" s="30" t="s">
        <v>93</v>
      </c>
      <c r="G40" s="31" t="s">
        <v>94</v>
      </c>
      <c r="H40" s="32">
        <v>5</v>
      </c>
      <c r="I40" s="32">
        <v>5</v>
      </c>
      <c r="J40" s="33">
        <v>668.53</v>
      </c>
      <c r="K40" s="34">
        <f>ROUND(J40*H40,2)</f>
        <v>3342.65</v>
      </c>
      <c r="L40" s="90">
        <f t="shared" si="2"/>
        <v>3342.6499999999996</v>
      </c>
      <c r="M40" s="70">
        <v>3</v>
      </c>
      <c r="N40" s="71">
        <f t="shared" si="3"/>
        <v>2005.59</v>
      </c>
      <c r="O40" s="72"/>
      <c r="P40" s="73">
        <f>O40*J40</f>
        <v>0</v>
      </c>
      <c r="Q40" s="70">
        <f>O40+M40</f>
        <v>3</v>
      </c>
      <c r="R40" s="74">
        <f>Q40*J40</f>
        <v>2005.59</v>
      </c>
      <c r="S40" s="75">
        <f>R40/K40</f>
        <v>0.6</v>
      </c>
      <c r="T40" s="76">
        <f>H40-Q40</f>
        <v>2</v>
      </c>
      <c r="U40" s="77">
        <f>T40*J40</f>
        <v>1337.06</v>
      </c>
      <c r="V40" s="78">
        <f>T40/H40</f>
        <v>0.4</v>
      </c>
    </row>
    <row r="41" spans="2:22" s="23" customFormat="1" ht="23" customHeight="1" x14ac:dyDescent="0.25">
      <c r="B41" s="22"/>
      <c r="D41" s="24" t="s">
        <v>27</v>
      </c>
      <c r="E41" s="36" t="s">
        <v>145</v>
      </c>
      <c r="F41" s="36" t="s">
        <v>146</v>
      </c>
      <c r="J41" s="26"/>
      <c r="K41" s="37">
        <f>SUM(K42:K44)</f>
        <v>15676.5</v>
      </c>
      <c r="L41" s="37">
        <f>SUM(L42:L44)</f>
        <v>27229.050000000003</v>
      </c>
      <c r="N41" s="37">
        <f>SUM(N42:N44)</f>
        <v>15676.5</v>
      </c>
      <c r="P41" s="37">
        <f>SUM(P42:P44)</f>
        <v>0</v>
      </c>
      <c r="R41" s="37">
        <f>SUM(R42:R44)</f>
        <v>15676.5</v>
      </c>
      <c r="U41" s="37">
        <f>SUM(U42:U44)</f>
        <v>0</v>
      </c>
    </row>
    <row r="42" spans="2:22" s="5" customFormat="1" ht="16.5" customHeight="1" x14ac:dyDescent="0.35">
      <c r="B42" s="4"/>
      <c r="C42" s="28" t="s">
        <v>147</v>
      </c>
      <c r="D42" s="28" t="s">
        <v>32</v>
      </c>
      <c r="E42" s="29" t="s">
        <v>83</v>
      </c>
      <c r="F42" s="30" t="s">
        <v>148</v>
      </c>
      <c r="G42" s="31" t="s">
        <v>120</v>
      </c>
      <c r="H42" s="32">
        <v>70</v>
      </c>
      <c r="I42" s="32">
        <f>70+35</f>
        <v>105</v>
      </c>
      <c r="J42" s="33">
        <v>69.53</v>
      </c>
      <c r="K42" s="34">
        <f>ROUND(J42*H42,2)</f>
        <v>4867.1000000000004</v>
      </c>
      <c r="L42" s="90">
        <f t="shared" si="2"/>
        <v>7300.6500000000005</v>
      </c>
      <c r="M42" s="70">
        <v>70</v>
      </c>
      <c r="N42" s="71">
        <f t="shared" si="3"/>
        <v>4867.1000000000004</v>
      </c>
      <c r="O42" s="72"/>
      <c r="P42" s="73">
        <f>O42*J42</f>
        <v>0</v>
      </c>
      <c r="Q42" s="70">
        <f>O42+M42</f>
        <v>70</v>
      </c>
      <c r="R42" s="74">
        <f>Q42*J42</f>
        <v>4867.1000000000004</v>
      </c>
      <c r="S42" s="75">
        <f>R42/K42</f>
        <v>1</v>
      </c>
      <c r="T42" s="76">
        <f>H42-Q42</f>
        <v>0</v>
      </c>
      <c r="U42" s="77">
        <f>T42*J42</f>
        <v>0</v>
      </c>
      <c r="V42" s="78">
        <f>T42/H42</f>
        <v>0</v>
      </c>
    </row>
    <row r="43" spans="2:22" s="5" customFormat="1" ht="16.5" customHeight="1" x14ac:dyDescent="0.35">
      <c r="B43" s="4"/>
      <c r="C43" s="28" t="s">
        <v>149</v>
      </c>
      <c r="D43" s="28" t="s">
        <v>32</v>
      </c>
      <c r="E43" s="29" t="s">
        <v>88</v>
      </c>
      <c r="F43" s="30" t="s">
        <v>150</v>
      </c>
      <c r="G43" s="31" t="s">
        <v>120</v>
      </c>
      <c r="H43" s="32">
        <v>120</v>
      </c>
      <c r="I43" s="32">
        <v>120</v>
      </c>
      <c r="J43" s="33">
        <v>74.88</v>
      </c>
      <c r="K43" s="34">
        <f>ROUND(J43*H43,2)</f>
        <v>8985.6</v>
      </c>
      <c r="L43" s="90">
        <f t="shared" si="2"/>
        <v>8985.5999999999985</v>
      </c>
      <c r="M43" s="70">
        <v>120</v>
      </c>
      <c r="N43" s="71">
        <f t="shared" si="3"/>
        <v>8985.5999999999985</v>
      </c>
      <c r="O43" s="72"/>
      <c r="P43" s="73">
        <f>O43*J43</f>
        <v>0</v>
      </c>
      <c r="Q43" s="70">
        <f>O43+M43</f>
        <v>120</v>
      </c>
      <c r="R43" s="74">
        <f>Q43*J43</f>
        <v>8985.5999999999985</v>
      </c>
      <c r="S43" s="75">
        <f>R43/K43</f>
        <v>0.99999999999999978</v>
      </c>
      <c r="T43" s="76">
        <f>H43-Q43</f>
        <v>0</v>
      </c>
      <c r="U43" s="77">
        <f>T43*J43</f>
        <v>0</v>
      </c>
      <c r="V43" s="78">
        <f>T43/H43</f>
        <v>0</v>
      </c>
    </row>
    <row r="44" spans="2:22" s="5" customFormat="1" ht="16.5" customHeight="1" x14ac:dyDescent="0.35">
      <c r="B44" s="4"/>
      <c r="C44" s="28" t="s">
        <v>151</v>
      </c>
      <c r="D44" s="28" t="s">
        <v>32</v>
      </c>
      <c r="E44" s="29" t="s">
        <v>92</v>
      </c>
      <c r="F44" s="30" t="s">
        <v>152</v>
      </c>
      <c r="G44" s="31" t="s">
        <v>120</v>
      </c>
      <c r="H44" s="32">
        <v>22</v>
      </c>
      <c r="I44" s="32">
        <f>22+110</f>
        <v>132</v>
      </c>
      <c r="J44" s="33">
        <v>82.9</v>
      </c>
      <c r="K44" s="34">
        <f>ROUND(J44*H44,2)</f>
        <v>1823.8</v>
      </c>
      <c r="L44" s="90">
        <f t="shared" si="2"/>
        <v>10942.800000000001</v>
      </c>
      <c r="M44" s="70">
        <v>22</v>
      </c>
      <c r="N44" s="71">
        <f t="shared" si="3"/>
        <v>1823.8000000000002</v>
      </c>
      <c r="O44" s="72"/>
      <c r="P44" s="73">
        <f>O44*J44</f>
        <v>0</v>
      </c>
      <c r="Q44" s="70">
        <f>O44+M44</f>
        <v>22</v>
      </c>
      <c r="R44" s="74">
        <f>Q44*J44</f>
        <v>1823.8000000000002</v>
      </c>
      <c r="S44" s="75">
        <f>R44/K44</f>
        <v>1.0000000000000002</v>
      </c>
      <c r="T44" s="76">
        <f>H44-Q44</f>
        <v>0</v>
      </c>
      <c r="U44" s="77">
        <f>T44*J44</f>
        <v>0</v>
      </c>
      <c r="V44" s="78">
        <f>T44/H44</f>
        <v>0</v>
      </c>
    </row>
    <row r="45" spans="2:22" s="23" customFormat="1" ht="23" customHeight="1" x14ac:dyDescent="0.25">
      <c r="B45" s="22"/>
      <c r="D45" s="24" t="s">
        <v>27</v>
      </c>
      <c r="E45" s="36" t="s">
        <v>153</v>
      </c>
      <c r="F45" s="36" t="s">
        <v>154</v>
      </c>
      <c r="J45" s="26"/>
      <c r="K45" s="37">
        <f>SUM(K46:K51)</f>
        <v>33305.229999999996</v>
      </c>
      <c r="L45" s="37">
        <f>SUM(L46:L51)</f>
        <v>53981.94</v>
      </c>
      <c r="N45" s="37">
        <f>SUM(N46:N51)</f>
        <v>33305.229999999996</v>
      </c>
      <c r="P45" s="37">
        <f>SUM(P46:P51)</f>
        <v>0</v>
      </c>
      <c r="R45" s="37">
        <f>SUM(R46:R51)</f>
        <v>33305.229999999996</v>
      </c>
      <c r="U45" s="37">
        <f>SUM(U46:U51)</f>
        <v>0</v>
      </c>
    </row>
    <row r="46" spans="2:22" s="5" customFormat="1" ht="16.5" customHeight="1" x14ac:dyDescent="0.35">
      <c r="B46" s="4"/>
      <c r="C46" s="28" t="s">
        <v>155</v>
      </c>
      <c r="D46" s="28" t="s">
        <v>32</v>
      </c>
      <c r="E46" s="29" t="s">
        <v>95</v>
      </c>
      <c r="F46" s="30" t="s">
        <v>156</v>
      </c>
      <c r="G46" s="31" t="s">
        <v>120</v>
      </c>
      <c r="H46" s="32">
        <v>25</v>
      </c>
      <c r="I46" s="32">
        <f>25+150</f>
        <v>175</v>
      </c>
      <c r="J46" s="33">
        <v>69.53</v>
      </c>
      <c r="K46" s="34">
        <f t="shared" ref="K46:K51" si="10">ROUND(J46*H46,2)</f>
        <v>1738.25</v>
      </c>
      <c r="L46" s="90">
        <f t="shared" si="2"/>
        <v>12167.75</v>
      </c>
      <c r="M46" s="70">
        <v>25</v>
      </c>
      <c r="N46" s="71">
        <f t="shared" si="3"/>
        <v>1738.25</v>
      </c>
      <c r="O46" s="72"/>
      <c r="P46" s="73">
        <f t="shared" ref="P46:P51" si="11">O46*J46</f>
        <v>0</v>
      </c>
      <c r="Q46" s="70">
        <f t="shared" ref="Q46:Q51" si="12">O46+M46</f>
        <v>25</v>
      </c>
      <c r="R46" s="74">
        <f t="shared" ref="R46:R51" si="13">Q46*J46</f>
        <v>1738.25</v>
      </c>
      <c r="S46" s="75">
        <f t="shared" ref="S46:S51" si="14">R46/K46</f>
        <v>1</v>
      </c>
      <c r="T46" s="76">
        <f t="shared" ref="T46:T51" si="15">H46-Q46</f>
        <v>0</v>
      </c>
      <c r="U46" s="77">
        <f t="shared" ref="U46:U51" si="16">T46*J46</f>
        <v>0</v>
      </c>
      <c r="V46" s="78">
        <f t="shared" ref="V46:V51" si="17">T46/H46</f>
        <v>0</v>
      </c>
    </row>
    <row r="47" spans="2:22" s="5" customFormat="1" ht="16.5" customHeight="1" x14ac:dyDescent="0.35">
      <c r="B47" s="4"/>
      <c r="C47" s="28" t="s">
        <v>157</v>
      </c>
      <c r="D47" s="28" t="s">
        <v>32</v>
      </c>
      <c r="E47" s="29" t="s">
        <v>97</v>
      </c>
      <c r="F47" s="30" t="s">
        <v>158</v>
      </c>
      <c r="G47" s="31" t="s">
        <v>120</v>
      </c>
      <c r="H47" s="32">
        <v>90</v>
      </c>
      <c r="I47" s="32">
        <f>90+25</f>
        <v>115</v>
      </c>
      <c r="J47" s="33">
        <v>82.9</v>
      </c>
      <c r="K47" s="34">
        <f t="shared" si="10"/>
        <v>7461</v>
      </c>
      <c r="L47" s="90">
        <f t="shared" si="2"/>
        <v>9533.5</v>
      </c>
      <c r="M47" s="70">
        <v>90</v>
      </c>
      <c r="N47" s="71">
        <f t="shared" si="3"/>
        <v>7461.0000000000009</v>
      </c>
      <c r="O47" s="72"/>
      <c r="P47" s="73">
        <f t="shared" si="11"/>
        <v>0</v>
      </c>
      <c r="Q47" s="70">
        <f t="shared" si="12"/>
        <v>90</v>
      </c>
      <c r="R47" s="74">
        <f t="shared" si="13"/>
        <v>7461.0000000000009</v>
      </c>
      <c r="S47" s="75">
        <f t="shared" si="14"/>
        <v>1.0000000000000002</v>
      </c>
      <c r="T47" s="76">
        <f t="shared" si="15"/>
        <v>0</v>
      </c>
      <c r="U47" s="77">
        <f t="shared" si="16"/>
        <v>0</v>
      </c>
      <c r="V47" s="78">
        <f t="shared" si="17"/>
        <v>0</v>
      </c>
    </row>
    <row r="48" spans="2:22" s="5" customFormat="1" ht="16.5" customHeight="1" x14ac:dyDescent="0.35">
      <c r="B48" s="4"/>
      <c r="C48" s="28" t="s">
        <v>159</v>
      </c>
      <c r="D48" s="28" t="s">
        <v>32</v>
      </c>
      <c r="E48" s="29" t="s">
        <v>99</v>
      </c>
      <c r="F48" s="30" t="s">
        <v>160</v>
      </c>
      <c r="G48" s="31" t="s">
        <v>120</v>
      </c>
      <c r="H48" s="32">
        <v>20</v>
      </c>
      <c r="I48" s="32">
        <v>20</v>
      </c>
      <c r="J48" s="33">
        <v>101.62</v>
      </c>
      <c r="K48" s="34">
        <f t="shared" si="10"/>
        <v>2032.4</v>
      </c>
      <c r="L48" s="90">
        <f t="shared" si="2"/>
        <v>2032.4</v>
      </c>
      <c r="M48" s="70">
        <v>20</v>
      </c>
      <c r="N48" s="71">
        <f t="shared" si="3"/>
        <v>2032.4</v>
      </c>
      <c r="O48" s="72"/>
      <c r="P48" s="73">
        <f t="shared" si="11"/>
        <v>0</v>
      </c>
      <c r="Q48" s="70">
        <f t="shared" si="12"/>
        <v>20</v>
      </c>
      <c r="R48" s="74">
        <f t="shared" si="13"/>
        <v>2032.4</v>
      </c>
      <c r="S48" s="75">
        <f t="shared" si="14"/>
        <v>1</v>
      </c>
      <c r="T48" s="76">
        <f t="shared" si="15"/>
        <v>0</v>
      </c>
      <c r="U48" s="77">
        <f t="shared" si="16"/>
        <v>0</v>
      </c>
      <c r="V48" s="78">
        <f t="shared" si="17"/>
        <v>0</v>
      </c>
    </row>
    <row r="49" spans="2:22" s="5" customFormat="1" ht="16.5" customHeight="1" x14ac:dyDescent="0.35">
      <c r="B49" s="4"/>
      <c r="C49" s="28" t="s">
        <v>161</v>
      </c>
      <c r="D49" s="28" t="s">
        <v>32</v>
      </c>
      <c r="E49" s="29" t="s">
        <v>101</v>
      </c>
      <c r="F49" s="30" t="s">
        <v>162</v>
      </c>
      <c r="G49" s="31" t="s">
        <v>120</v>
      </c>
      <c r="H49" s="32">
        <v>59</v>
      </c>
      <c r="I49" s="32">
        <v>59</v>
      </c>
      <c r="J49" s="33">
        <v>101.62</v>
      </c>
      <c r="K49" s="34">
        <f t="shared" si="10"/>
        <v>5995.58</v>
      </c>
      <c r="L49" s="90">
        <f t="shared" si="2"/>
        <v>5995.58</v>
      </c>
      <c r="M49" s="70">
        <v>59</v>
      </c>
      <c r="N49" s="71">
        <f t="shared" si="3"/>
        <v>5995.58</v>
      </c>
      <c r="O49" s="72"/>
      <c r="P49" s="73">
        <f t="shared" si="11"/>
        <v>0</v>
      </c>
      <c r="Q49" s="70">
        <f t="shared" si="12"/>
        <v>59</v>
      </c>
      <c r="R49" s="74">
        <f t="shared" si="13"/>
        <v>5995.58</v>
      </c>
      <c r="S49" s="75">
        <f t="shared" si="14"/>
        <v>1</v>
      </c>
      <c r="T49" s="76">
        <f t="shared" si="15"/>
        <v>0</v>
      </c>
      <c r="U49" s="77">
        <f t="shared" si="16"/>
        <v>0</v>
      </c>
      <c r="V49" s="78">
        <f t="shared" si="17"/>
        <v>0</v>
      </c>
    </row>
    <row r="50" spans="2:22" s="5" customFormat="1" ht="16.5" customHeight="1" x14ac:dyDescent="0.35">
      <c r="B50" s="4"/>
      <c r="C50" s="28" t="s">
        <v>163</v>
      </c>
      <c r="D50" s="28" t="s">
        <v>32</v>
      </c>
      <c r="E50" s="29" t="s">
        <v>164</v>
      </c>
      <c r="F50" s="30" t="s">
        <v>165</v>
      </c>
      <c r="G50" s="31" t="s">
        <v>120</v>
      </c>
      <c r="H50" s="32">
        <v>50</v>
      </c>
      <c r="I50" s="32">
        <f>50+25</f>
        <v>75</v>
      </c>
      <c r="J50" s="33">
        <v>185.85</v>
      </c>
      <c r="K50" s="34">
        <f t="shared" si="10"/>
        <v>9292.5</v>
      </c>
      <c r="L50" s="90">
        <f t="shared" si="2"/>
        <v>13938.75</v>
      </c>
      <c r="M50" s="70">
        <v>50</v>
      </c>
      <c r="N50" s="71">
        <f t="shared" si="3"/>
        <v>9292.5</v>
      </c>
      <c r="O50" s="72"/>
      <c r="P50" s="73">
        <f t="shared" si="11"/>
        <v>0</v>
      </c>
      <c r="Q50" s="70">
        <f t="shared" si="12"/>
        <v>50</v>
      </c>
      <c r="R50" s="74">
        <f t="shared" si="13"/>
        <v>9292.5</v>
      </c>
      <c r="S50" s="75">
        <f t="shared" si="14"/>
        <v>1</v>
      </c>
      <c r="T50" s="76">
        <f t="shared" si="15"/>
        <v>0</v>
      </c>
      <c r="U50" s="77">
        <f t="shared" si="16"/>
        <v>0</v>
      </c>
      <c r="V50" s="78">
        <f t="shared" si="17"/>
        <v>0</v>
      </c>
    </row>
    <row r="51" spans="2:22" s="5" customFormat="1" ht="16.5" customHeight="1" x14ac:dyDescent="0.35">
      <c r="B51" s="4"/>
      <c r="C51" s="28" t="s">
        <v>166</v>
      </c>
      <c r="D51" s="28" t="s">
        <v>32</v>
      </c>
      <c r="E51" s="29" t="s">
        <v>167</v>
      </c>
      <c r="F51" s="30" t="s">
        <v>168</v>
      </c>
      <c r="G51" s="31" t="s">
        <v>120</v>
      </c>
      <c r="H51" s="32">
        <v>25</v>
      </c>
      <c r="I51" s="32">
        <f>25+13</f>
        <v>38</v>
      </c>
      <c r="J51" s="33">
        <v>271.42</v>
      </c>
      <c r="K51" s="34">
        <f t="shared" si="10"/>
        <v>6785.5</v>
      </c>
      <c r="L51" s="90">
        <f t="shared" si="2"/>
        <v>10313.960000000001</v>
      </c>
      <c r="M51" s="70">
        <v>25</v>
      </c>
      <c r="N51" s="71">
        <f t="shared" si="3"/>
        <v>6785.5</v>
      </c>
      <c r="O51" s="72"/>
      <c r="P51" s="73">
        <f t="shared" si="11"/>
        <v>0</v>
      </c>
      <c r="Q51" s="70">
        <f t="shared" si="12"/>
        <v>25</v>
      </c>
      <c r="R51" s="74">
        <f t="shared" si="13"/>
        <v>6785.5</v>
      </c>
      <c r="S51" s="75">
        <f t="shared" si="14"/>
        <v>1</v>
      </c>
      <c r="T51" s="76">
        <f t="shared" si="15"/>
        <v>0</v>
      </c>
      <c r="U51" s="77">
        <f t="shared" si="16"/>
        <v>0</v>
      </c>
      <c r="V51" s="78">
        <f t="shared" si="17"/>
        <v>0</v>
      </c>
    </row>
    <row r="52" spans="2:22" s="23" customFormat="1" ht="23" customHeight="1" x14ac:dyDescent="0.25">
      <c r="B52" s="22"/>
      <c r="D52" s="24" t="s">
        <v>27</v>
      </c>
      <c r="E52" s="36" t="s">
        <v>86</v>
      </c>
      <c r="F52" s="36" t="s">
        <v>140</v>
      </c>
      <c r="J52" s="26"/>
      <c r="K52" s="37">
        <f>SUM(K53:K57)</f>
        <v>14039.17</v>
      </c>
      <c r="L52" s="37">
        <f>SUM(L53:L57)</f>
        <v>50808.32</v>
      </c>
      <c r="N52" s="37">
        <f>SUM(N53:N57)</f>
        <v>8690.91</v>
      </c>
      <c r="P52" s="37">
        <f>SUM(P53:P57)</f>
        <v>0</v>
      </c>
      <c r="R52" s="37">
        <f>SUM(R53:R57)</f>
        <v>8690.91</v>
      </c>
      <c r="U52" s="37">
        <f>SUM(U53:U57)</f>
        <v>5348.26</v>
      </c>
    </row>
    <row r="53" spans="2:22" s="5" customFormat="1" ht="16.5" customHeight="1" x14ac:dyDescent="0.35">
      <c r="B53" s="4"/>
      <c r="C53" s="28" t="s">
        <v>169</v>
      </c>
      <c r="D53" s="28" t="s">
        <v>32</v>
      </c>
      <c r="E53" s="29" t="s">
        <v>141</v>
      </c>
      <c r="F53" s="30" t="s">
        <v>142</v>
      </c>
      <c r="G53" s="31" t="s">
        <v>94</v>
      </c>
      <c r="H53" s="32">
        <v>3</v>
      </c>
      <c r="I53" s="32">
        <v>3</v>
      </c>
      <c r="J53" s="33">
        <v>668.53</v>
      </c>
      <c r="K53" s="34">
        <f>ROUND(J53*H53,2)</f>
        <v>2005.59</v>
      </c>
      <c r="L53" s="90">
        <f t="shared" si="2"/>
        <v>2005.59</v>
      </c>
      <c r="M53" s="70">
        <v>3</v>
      </c>
      <c r="N53" s="71">
        <f t="shared" si="3"/>
        <v>2005.59</v>
      </c>
      <c r="O53" s="72"/>
      <c r="P53" s="73">
        <f>O53*J53</f>
        <v>0</v>
      </c>
      <c r="Q53" s="70">
        <f>O53+M53</f>
        <v>3</v>
      </c>
      <c r="R53" s="74">
        <f>Q53*J53</f>
        <v>2005.59</v>
      </c>
      <c r="S53" s="75">
        <f>R53/K53</f>
        <v>1</v>
      </c>
      <c r="T53" s="76">
        <f>H53-Q53</f>
        <v>0</v>
      </c>
      <c r="U53" s="77">
        <f>T53*J53</f>
        <v>0</v>
      </c>
      <c r="V53" s="78">
        <f>T53/H53</f>
        <v>0</v>
      </c>
    </row>
    <row r="54" spans="2:22" s="5" customFormat="1" ht="16.5" customHeight="1" x14ac:dyDescent="0.35">
      <c r="B54" s="4"/>
      <c r="C54" s="28" t="s">
        <v>170</v>
      </c>
      <c r="D54" s="28" t="s">
        <v>32</v>
      </c>
      <c r="E54" s="29" t="s">
        <v>141</v>
      </c>
      <c r="F54" s="30" t="s">
        <v>142</v>
      </c>
      <c r="G54" s="31" t="s">
        <v>94</v>
      </c>
      <c r="H54" s="32">
        <v>1</v>
      </c>
      <c r="I54" s="32">
        <v>1</v>
      </c>
      <c r="J54" s="33">
        <v>668.53</v>
      </c>
      <c r="K54" s="34">
        <f>ROUND(J54*H54,2)</f>
        <v>668.53</v>
      </c>
      <c r="L54" s="90">
        <f t="shared" si="2"/>
        <v>668.53</v>
      </c>
      <c r="M54" s="70">
        <v>1</v>
      </c>
      <c r="N54" s="71">
        <f t="shared" si="3"/>
        <v>668.53</v>
      </c>
      <c r="O54" s="72"/>
      <c r="P54" s="73">
        <f>O54*J54</f>
        <v>0</v>
      </c>
      <c r="Q54" s="70">
        <f>O54+M54</f>
        <v>1</v>
      </c>
      <c r="R54" s="74">
        <f>Q54*J54</f>
        <v>668.53</v>
      </c>
      <c r="S54" s="75">
        <f>R54/K54</f>
        <v>1</v>
      </c>
      <c r="T54" s="76">
        <f>H54-Q54</f>
        <v>0</v>
      </c>
      <c r="U54" s="77">
        <f>T54*J54</f>
        <v>0</v>
      </c>
      <c r="V54" s="78">
        <f>T54/H54</f>
        <v>0</v>
      </c>
    </row>
    <row r="55" spans="2:22" s="5" customFormat="1" ht="16.5" customHeight="1" x14ac:dyDescent="0.35">
      <c r="B55" s="4"/>
      <c r="C55" s="28" t="s">
        <v>171</v>
      </c>
      <c r="D55" s="28" t="s">
        <v>32</v>
      </c>
      <c r="E55" s="29" t="s">
        <v>144</v>
      </c>
      <c r="F55" s="30" t="s">
        <v>93</v>
      </c>
      <c r="G55" s="31" t="s">
        <v>94</v>
      </c>
      <c r="H55" s="32">
        <v>3</v>
      </c>
      <c r="I55" s="32">
        <v>3</v>
      </c>
      <c r="J55" s="33">
        <v>668.53</v>
      </c>
      <c r="K55" s="34">
        <f>ROUND(J55*H55,2)</f>
        <v>2005.59</v>
      </c>
      <c r="L55" s="90">
        <f t="shared" si="2"/>
        <v>2005.59</v>
      </c>
      <c r="M55" s="70">
        <v>2</v>
      </c>
      <c r="N55" s="71">
        <f t="shared" si="3"/>
        <v>1337.06</v>
      </c>
      <c r="O55" s="72"/>
      <c r="P55" s="73">
        <f>O55*J55</f>
        <v>0</v>
      </c>
      <c r="Q55" s="70">
        <f>O55+M55</f>
        <v>2</v>
      </c>
      <c r="R55" s="74">
        <f>Q55*J55</f>
        <v>1337.06</v>
      </c>
      <c r="S55" s="75">
        <f>R55/K55</f>
        <v>0.66666666666666663</v>
      </c>
      <c r="T55" s="76">
        <f>H55-Q55</f>
        <v>1</v>
      </c>
      <c r="U55" s="77">
        <f>T55*J55</f>
        <v>668.53</v>
      </c>
      <c r="V55" s="78">
        <f>T55/H55</f>
        <v>0.33333333333333331</v>
      </c>
    </row>
    <row r="56" spans="2:22" s="5" customFormat="1" ht="16.5" customHeight="1" x14ac:dyDescent="0.35">
      <c r="B56" s="4"/>
      <c r="C56" s="28" t="s">
        <v>172</v>
      </c>
      <c r="D56" s="28" t="s">
        <v>32</v>
      </c>
      <c r="E56" s="29" t="s">
        <v>144</v>
      </c>
      <c r="F56" s="30" t="s">
        <v>93</v>
      </c>
      <c r="G56" s="31" t="s">
        <v>94</v>
      </c>
      <c r="H56" s="32">
        <v>2</v>
      </c>
      <c r="I56" s="32">
        <f>2+55</f>
        <v>57</v>
      </c>
      <c r="J56" s="33">
        <v>668.53</v>
      </c>
      <c r="K56" s="34">
        <f>ROUND(J56*H56,2)</f>
        <v>1337.06</v>
      </c>
      <c r="L56" s="90">
        <f t="shared" si="2"/>
        <v>38106.21</v>
      </c>
      <c r="M56" s="70">
        <v>1</v>
      </c>
      <c r="N56" s="71">
        <f t="shared" si="3"/>
        <v>668.53</v>
      </c>
      <c r="O56" s="72"/>
      <c r="P56" s="73">
        <f>O56*J56</f>
        <v>0</v>
      </c>
      <c r="Q56" s="70">
        <f>O56+M56</f>
        <v>1</v>
      </c>
      <c r="R56" s="74">
        <f>Q56*J56</f>
        <v>668.53</v>
      </c>
      <c r="S56" s="75">
        <f>R56/K56</f>
        <v>0.5</v>
      </c>
      <c r="T56" s="76">
        <f>H56-Q56</f>
        <v>1</v>
      </c>
      <c r="U56" s="77">
        <f>T56*J56</f>
        <v>668.53</v>
      </c>
      <c r="V56" s="78">
        <f>T56/H56</f>
        <v>0.5</v>
      </c>
    </row>
    <row r="57" spans="2:22" s="5" customFormat="1" ht="16.5" customHeight="1" x14ac:dyDescent="0.35">
      <c r="B57" s="4"/>
      <c r="C57" s="28" t="s">
        <v>173</v>
      </c>
      <c r="D57" s="28" t="s">
        <v>32</v>
      </c>
      <c r="E57" s="29" t="s">
        <v>174</v>
      </c>
      <c r="F57" s="30" t="s">
        <v>175</v>
      </c>
      <c r="G57" s="31" t="s">
        <v>94</v>
      </c>
      <c r="H57" s="32">
        <v>10</v>
      </c>
      <c r="I57" s="32">
        <v>10</v>
      </c>
      <c r="J57" s="33">
        <v>802.24</v>
      </c>
      <c r="K57" s="34">
        <f>ROUND(J57*H57,2)</f>
        <v>8022.4</v>
      </c>
      <c r="L57" s="90">
        <f t="shared" si="2"/>
        <v>8022.4</v>
      </c>
      <c r="M57" s="70">
        <v>5</v>
      </c>
      <c r="N57" s="71">
        <f t="shared" si="3"/>
        <v>4011.2</v>
      </c>
      <c r="O57" s="72"/>
      <c r="P57" s="73">
        <f>O57*J57</f>
        <v>0</v>
      </c>
      <c r="Q57" s="70">
        <f>O57+M57</f>
        <v>5</v>
      </c>
      <c r="R57" s="74">
        <f>Q57*J57</f>
        <v>4011.2</v>
      </c>
      <c r="S57" s="75">
        <f>R57/K57</f>
        <v>0.5</v>
      </c>
      <c r="T57" s="76">
        <f>H57-Q57</f>
        <v>5</v>
      </c>
      <c r="U57" s="77">
        <f>T57*J57</f>
        <v>4011.2</v>
      </c>
      <c r="V57" s="78">
        <f>T57/H57</f>
        <v>0.5</v>
      </c>
    </row>
    <row r="58" spans="2:22" s="23" customFormat="1" ht="23" customHeight="1" x14ac:dyDescent="0.25">
      <c r="B58" s="22"/>
      <c r="D58" s="24" t="s">
        <v>27</v>
      </c>
      <c r="E58" s="36" t="s">
        <v>176</v>
      </c>
      <c r="F58" s="36" t="s">
        <v>177</v>
      </c>
      <c r="J58" s="26"/>
      <c r="K58" s="37">
        <f>SUM(K59:K63)</f>
        <v>226498.12000000002</v>
      </c>
      <c r="L58" s="37">
        <f>SUM(L59:L63)</f>
        <v>32836.839999999997</v>
      </c>
      <c r="N58" s="37">
        <f>SUM(N59:N63)</f>
        <v>10445.11</v>
      </c>
      <c r="P58" s="37">
        <f>SUM(P59:P63)</f>
        <v>22391.73</v>
      </c>
      <c r="R58" s="37">
        <f>SUM(R59:R63)</f>
        <v>32836.839999999997</v>
      </c>
      <c r="U58" s="37">
        <f>SUM(U59:U63)</f>
        <v>193661.28</v>
      </c>
    </row>
    <row r="59" spans="2:22" s="5" customFormat="1" ht="44.25" customHeight="1" x14ac:dyDescent="0.35">
      <c r="B59" s="4"/>
      <c r="C59" s="28" t="s">
        <v>178</v>
      </c>
      <c r="D59" s="28" t="s">
        <v>32</v>
      </c>
      <c r="E59" s="29" t="s">
        <v>179</v>
      </c>
      <c r="F59" s="30" t="s">
        <v>180</v>
      </c>
      <c r="G59" s="31" t="s">
        <v>73</v>
      </c>
      <c r="H59" s="32">
        <v>2</v>
      </c>
      <c r="I59" s="32">
        <v>2</v>
      </c>
      <c r="J59" s="33">
        <v>10445.11</v>
      </c>
      <c r="K59" s="34">
        <f>ROUND(J59*H59,2)</f>
        <v>20890.22</v>
      </c>
      <c r="L59" s="90">
        <f t="shared" si="2"/>
        <v>20890.22</v>
      </c>
      <c r="M59" s="70">
        <v>1</v>
      </c>
      <c r="N59" s="71">
        <f t="shared" si="3"/>
        <v>10445.11</v>
      </c>
      <c r="O59" s="72">
        <v>1</v>
      </c>
      <c r="P59" s="73">
        <f>O59*J59</f>
        <v>10445.11</v>
      </c>
      <c r="Q59" s="70">
        <f>O59+M59</f>
        <v>2</v>
      </c>
      <c r="R59" s="74">
        <f>Q59*J59</f>
        <v>20890.22</v>
      </c>
      <c r="S59" s="75">
        <f>R59/K59</f>
        <v>1</v>
      </c>
      <c r="T59" s="76">
        <f>H59-Q59</f>
        <v>0</v>
      </c>
      <c r="U59" s="77">
        <f>T59*J59</f>
        <v>0</v>
      </c>
      <c r="V59" s="78">
        <f>T59/H59</f>
        <v>0</v>
      </c>
    </row>
    <row r="60" spans="2:22" s="5" customFormat="1" ht="33" customHeight="1" x14ac:dyDescent="0.35">
      <c r="B60" s="4"/>
      <c r="C60" s="28" t="s">
        <v>181</v>
      </c>
      <c r="D60" s="28" t="s">
        <v>32</v>
      </c>
      <c r="E60" s="29" t="s">
        <v>182</v>
      </c>
      <c r="F60" s="30" t="s">
        <v>183</v>
      </c>
      <c r="G60" s="31" t="s">
        <v>73</v>
      </c>
      <c r="H60" s="32">
        <v>1</v>
      </c>
      <c r="I60" s="32"/>
      <c r="J60" s="33">
        <v>128784.49</v>
      </c>
      <c r="K60" s="34">
        <f>ROUND(J60*H60,2)</f>
        <v>128784.49</v>
      </c>
      <c r="L60" s="90">
        <f t="shared" si="2"/>
        <v>0</v>
      </c>
      <c r="M60" s="70">
        <v>0</v>
      </c>
      <c r="N60" s="71">
        <f t="shared" si="3"/>
        <v>0</v>
      </c>
      <c r="O60" s="72"/>
      <c r="P60" s="73">
        <f>O60*J60</f>
        <v>0</v>
      </c>
      <c r="Q60" s="70">
        <f>O60+M60</f>
        <v>0</v>
      </c>
      <c r="R60" s="74">
        <f>Q60*J60</f>
        <v>0</v>
      </c>
      <c r="S60" s="75">
        <f>R60/K60</f>
        <v>0</v>
      </c>
      <c r="T60" s="76">
        <f>H60-Q60</f>
        <v>1</v>
      </c>
      <c r="U60" s="77">
        <f>T60*J60</f>
        <v>128784.49</v>
      </c>
      <c r="V60" s="78">
        <f>T60/H60</f>
        <v>1</v>
      </c>
    </row>
    <row r="61" spans="2:22" s="5" customFormat="1" ht="24.15" customHeight="1" x14ac:dyDescent="0.35">
      <c r="B61" s="4"/>
      <c r="C61" s="28" t="s">
        <v>184</v>
      </c>
      <c r="D61" s="28" t="s">
        <v>32</v>
      </c>
      <c r="E61" s="29" t="s">
        <v>185</v>
      </c>
      <c r="F61" s="30" t="s">
        <v>186</v>
      </c>
      <c r="G61" s="31" t="s">
        <v>73</v>
      </c>
      <c r="H61" s="32">
        <v>1</v>
      </c>
      <c r="I61" s="32">
        <v>1</v>
      </c>
      <c r="J61" s="33">
        <v>2854.62</v>
      </c>
      <c r="K61" s="34">
        <f>ROUND(J61*H61,2)</f>
        <v>2854.62</v>
      </c>
      <c r="L61" s="90">
        <f t="shared" si="2"/>
        <v>2854.62</v>
      </c>
      <c r="M61" s="70">
        <v>0</v>
      </c>
      <c r="N61" s="71">
        <f t="shared" si="3"/>
        <v>0</v>
      </c>
      <c r="O61" s="72">
        <v>1</v>
      </c>
      <c r="P61" s="73">
        <f>O61*J61</f>
        <v>2854.62</v>
      </c>
      <c r="Q61" s="70">
        <f>O61+M61</f>
        <v>1</v>
      </c>
      <c r="R61" s="74">
        <f>Q61*J61</f>
        <v>2854.62</v>
      </c>
      <c r="S61" s="75">
        <f>R61/K61</f>
        <v>1</v>
      </c>
      <c r="T61" s="76">
        <f>H61-Q61</f>
        <v>0</v>
      </c>
      <c r="U61" s="77">
        <f>T61*J61</f>
        <v>0</v>
      </c>
      <c r="V61" s="78">
        <f>T61/H61</f>
        <v>0</v>
      </c>
    </row>
    <row r="62" spans="2:22" s="5" customFormat="1" ht="38" customHeight="1" x14ac:dyDescent="0.35">
      <c r="B62" s="4"/>
      <c r="C62" s="28" t="s">
        <v>187</v>
      </c>
      <c r="D62" s="28" t="s">
        <v>32</v>
      </c>
      <c r="E62" s="29" t="s">
        <v>188</v>
      </c>
      <c r="F62" s="30" t="s">
        <v>189</v>
      </c>
      <c r="G62" s="31" t="s">
        <v>73</v>
      </c>
      <c r="H62" s="32">
        <v>1</v>
      </c>
      <c r="I62" s="32"/>
      <c r="J62" s="33">
        <v>64876.79</v>
      </c>
      <c r="K62" s="34">
        <f>ROUND(J62*H62,2)</f>
        <v>64876.79</v>
      </c>
      <c r="L62" s="90">
        <f t="shared" si="2"/>
        <v>0</v>
      </c>
      <c r="M62" s="70">
        <v>0</v>
      </c>
      <c r="N62" s="71">
        <f t="shared" si="3"/>
        <v>0</v>
      </c>
      <c r="O62" s="72"/>
      <c r="P62" s="73">
        <f>O62*J62</f>
        <v>0</v>
      </c>
      <c r="Q62" s="70">
        <f>O62+M62</f>
        <v>0</v>
      </c>
      <c r="R62" s="74">
        <f>Q62*J62</f>
        <v>0</v>
      </c>
      <c r="S62" s="75">
        <f>R62/K62</f>
        <v>0</v>
      </c>
      <c r="T62" s="76">
        <f>H62-Q62</f>
        <v>1</v>
      </c>
      <c r="U62" s="77">
        <f>T62*J62</f>
        <v>64876.79</v>
      </c>
      <c r="V62" s="78">
        <f>T62/H62</f>
        <v>1</v>
      </c>
    </row>
    <row r="63" spans="2:22" s="5" customFormat="1" ht="16.5" customHeight="1" x14ac:dyDescent="0.35">
      <c r="B63" s="4"/>
      <c r="C63" s="28" t="s">
        <v>190</v>
      </c>
      <c r="D63" s="28" t="s">
        <v>32</v>
      </c>
      <c r="E63" s="29" t="s">
        <v>191</v>
      </c>
      <c r="F63" s="30" t="s">
        <v>192</v>
      </c>
      <c r="G63" s="31" t="s">
        <v>35</v>
      </c>
      <c r="H63" s="32">
        <v>1</v>
      </c>
      <c r="I63" s="32">
        <v>1</v>
      </c>
      <c r="J63" s="33">
        <v>9092</v>
      </c>
      <c r="K63" s="34">
        <f>ROUND(J63*H63,2)</f>
        <v>9092</v>
      </c>
      <c r="L63" s="90">
        <f t="shared" si="2"/>
        <v>9092</v>
      </c>
      <c r="M63" s="70">
        <v>0</v>
      </c>
      <c r="N63" s="71">
        <f t="shared" si="3"/>
        <v>0</v>
      </c>
      <c r="O63" s="72">
        <v>1</v>
      </c>
      <c r="P63" s="73">
        <f>O63*J63</f>
        <v>9092</v>
      </c>
      <c r="Q63" s="70">
        <f>O63+M63</f>
        <v>1</v>
      </c>
      <c r="R63" s="74">
        <f>Q63*J63</f>
        <v>9092</v>
      </c>
      <c r="S63" s="75">
        <f>R63/K63</f>
        <v>1</v>
      </c>
      <c r="T63" s="76">
        <f>H63-Q63</f>
        <v>0</v>
      </c>
      <c r="U63" s="77">
        <f>T63*J63</f>
        <v>0</v>
      </c>
      <c r="V63" s="78">
        <f>T63/H63</f>
        <v>0</v>
      </c>
    </row>
    <row r="64" spans="2:22" s="23" customFormat="1" ht="26" customHeight="1" x14ac:dyDescent="0.35">
      <c r="B64" s="22"/>
      <c r="D64" s="24" t="s">
        <v>27</v>
      </c>
      <c r="E64" s="25" t="s">
        <v>194</v>
      </c>
      <c r="F64" s="25" t="s">
        <v>140</v>
      </c>
      <c r="J64" s="26"/>
      <c r="K64" s="27">
        <f>SUM(K65:K66)</f>
        <v>22796.86</v>
      </c>
      <c r="L64" s="27">
        <f>SUM(L65:L66)</f>
        <v>22796.86</v>
      </c>
      <c r="N64" s="27">
        <f>SUM(N65:N66)</f>
        <v>11398.43</v>
      </c>
      <c r="P64" s="27">
        <f>SUM(P65:P66)</f>
        <v>11398.43</v>
      </c>
      <c r="R64" s="27">
        <f>SUM(R65:R66)</f>
        <v>22796.86</v>
      </c>
      <c r="U64" s="27">
        <f>SUM(U65:U66)</f>
        <v>0</v>
      </c>
    </row>
    <row r="65" spans="2:22" s="5" customFormat="1" ht="16.5" customHeight="1" x14ac:dyDescent="0.35">
      <c r="B65" s="4"/>
      <c r="C65" s="28" t="s">
        <v>195</v>
      </c>
      <c r="D65" s="28" t="s">
        <v>32</v>
      </c>
      <c r="E65" s="29" t="s">
        <v>196</v>
      </c>
      <c r="F65" s="30" t="s">
        <v>197</v>
      </c>
      <c r="G65" s="31" t="s">
        <v>100</v>
      </c>
      <c r="H65" s="32">
        <v>1</v>
      </c>
      <c r="I65" s="32">
        <v>1</v>
      </c>
      <c r="J65" s="33">
        <v>13103.18</v>
      </c>
      <c r="K65" s="34">
        <f>ROUND(J65*H65,2)</f>
        <v>13103.18</v>
      </c>
      <c r="L65" s="90">
        <f t="shared" si="2"/>
        <v>13103.18</v>
      </c>
      <c r="M65" s="70">
        <v>0.5</v>
      </c>
      <c r="N65" s="71">
        <f t="shared" si="3"/>
        <v>6551.59</v>
      </c>
      <c r="O65" s="72">
        <v>0.5</v>
      </c>
      <c r="P65" s="73">
        <f>O65*J65</f>
        <v>6551.59</v>
      </c>
      <c r="Q65" s="70">
        <f>O65+M65</f>
        <v>1</v>
      </c>
      <c r="R65" s="74">
        <f>Q65*J65</f>
        <v>13103.18</v>
      </c>
      <c r="S65" s="75">
        <f>R65/K65</f>
        <v>1</v>
      </c>
      <c r="T65" s="76">
        <f>H65-Q65</f>
        <v>0</v>
      </c>
      <c r="U65" s="77">
        <f>T65*J65</f>
        <v>0</v>
      </c>
      <c r="V65" s="78">
        <f>T65/H65</f>
        <v>0</v>
      </c>
    </row>
    <row r="66" spans="2:22" s="5" customFormat="1" ht="16.5" customHeight="1" x14ac:dyDescent="0.35">
      <c r="B66" s="4"/>
      <c r="C66" s="28" t="s">
        <v>198</v>
      </c>
      <c r="D66" s="28" t="s">
        <v>32</v>
      </c>
      <c r="E66" s="29" t="s">
        <v>199</v>
      </c>
      <c r="F66" s="30" t="s">
        <v>200</v>
      </c>
      <c r="G66" s="31" t="s">
        <v>100</v>
      </c>
      <c r="H66" s="32">
        <v>1</v>
      </c>
      <c r="I66" s="32">
        <v>1</v>
      </c>
      <c r="J66" s="33">
        <v>9693.68</v>
      </c>
      <c r="K66" s="34">
        <f>ROUND(J66*H66,2)</f>
        <v>9693.68</v>
      </c>
      <c r="L66" s="90">
        <f t="shared" si="2"/>
        <v>9693.68</v>
      </c>
      <c r="M66" s="70">
        <v>0.5</v>
      </c>
      <c r="N66" s="71">
        <f t="shared" si="3"/>
        <v>4846.84</v>
      </c>
      <c r="O66" s="72">
        <v>0.5</v>
      </c>
      <c r="P66" s="73">
        <f>O66*J66</f>
        <v>4846.84</v>
      </c>
      <c r="Q66" s="70">
        <f>O66+M66</f>
        <v>1</v>
      </c>
      <c r="R66" s="74">
        <f>Q66*J66</f>
        <v>9693.68</v>
      </c>
      <c r="S66" s="75">
        <f>R66/K66</f>
        <v>1</v>
      </c>
      <c r="T66" s="76">
        <f>H66-Q66</f>
        <v>0</v>
      </c>
      <c r="U66" s="77">
        <f>T66*J66</f>
        <v>0</v>
      </c>
      <c r="V66" s="78">
        <f>T66/H66</f>
        <v>0</v>
      </c>
    </row>
    <row r="67" spans="2:22" s="5" customFormat="1" ht="16.5" customHeight="1" x14ac:dyDescent="0.35">
      <c r="B67" s="11"/>
      <c r="C67" s="12"/>
      <c r="D67" s="12"/>
      <c r="E67" s="12"/>
      <c r="F67" s="12"/>
      <c r="G67" s="12"/>
      <c r="H67" s="12"/>
      <c r="I67" s="12"/>
      <c r="J67" s="12"/>
      <c r="K67" s="12"/>
    </row>
    <row r="68" spans="2:22" s="23" customFormat="1" ht="26" customHeight="1" x14ac:dyDescent="0.35">
      <c r="B68" s="22"/>
      <c r="D68" s="24"/>
      <c r="E68" s="25"/>
      <c r="F68" s="25" t="s">
        <v>1130</v>
      </c>
      <c r="J68" s="26"/>
      <c r="K68" s="27">
        <f>SUM(K69:K78)</f>
        <v>0</v>
      </c>
      <c r="L68" s="27">
        <f>SUM(L69:L75)</f>
        <v>451898.69000000006</v>
      </c>
      <c r="N68" s="27"/>
      <c r="P68" s="27"/>
      <c r="R68" s="27"/>
      <c r="U68" s="27"/>
    </row>
    <row r="69" spans="2:22" s="5" customFormat="1" ht="16.5" customHeight="1" x14ac:dyDescent="0.35">
      <c r="B69" s="4"/>
      <c r="C69" s="28"/>
      <c r="D69" s="28"/>
      <c r="E69" s="29"/>
      <c r="F69" s="30" t="s">
        <v>105</v>
      </c>
      <c r="G69" s="31" t="s">
        <v>73</v>
      </c>
      <c r="H69" s="32"/>
      <c r="I69" s="32">
        <v>2</v>
      </c>
      <c r="J69" s="33">
        <v>8136.01</v>
      </c>
      <c r="K69" s="34">
        <f t="shared" ref="K69:K72" si="18">ROUND(J69*H69,2)</f>
        <v>0</v>
      </c>
      <c r="L69" s="90">
        <f t="shared" ref="L69:L72" si="19">I69*J69</f>
        <v>16272.02</v>
      </c>
      <c r="M69" s="70"/>
      <c r="N69" s="71"/>
      <c r="O69" s="72"/>
      <c r="P69" s="73"/>
      <c r="Q69" s="70"/>
      <c r="R69" s="74"/>
      <c r="S69" s="75"/>
      <c r="T69" s="76"/>
      <c r="U69" s="77"/>
      <c r="V69" s="78"/>
    </row>
    <row r="70" spans="2:22" s="5" customFormat="1" ht="16.5" customHeight="1" x14ac:dyDescent="0.35">
      <c r="B70" s="4"/>
      <c r="C70" s="28"/>
      <c r="D70" s="28"/>
      <c r="E70" s="29"/>
      <c r="F70" s="30" t="s">
        <v>1124</v>
      </c>
      <c r="G70" s="31" t="s">
        <v>73</v>
      </c>
      <c r="H70" s="32"/>
      <c r="I70" s="32">
        <v>4</v>
      </c>
      <c r="J70" s="33">
        <v>16520</v>
      </c>
      <c r="K70" s="34">
        <f t="shared" si="18"/>
        <v>0</v>
      </c>
      <c r="L70" s="90">
        <f t="shared" si="19"/>
        <v>66080</v>
      </c>
      <c r="M70" s="70"/>
      <c r="N70" s="71"/>
      <c r="O70" s="72"/>
      <c r="P70" s="73"/>
      <c r="Q70" s="70"/>
      <c r="R70" s="74"/>
      <c r="S70" s="75"/>
      <c r="T70" s="76"/>
      <c r="U70" s="77"/>
      <c r="V70" s="78"/>
    </row>
    <row r="71" spans="2:22" s="5" customFormat="1" ht="16.5" customHeight="1" x14ac:dyDescent="0.35">
      <c r="B71" s="4"/>
      <c r="C71" s="28"/>
      <c r="D71" s="28"/>
      <c r="E71" s="29"/>
      <c r="F71" s="30" t="s">
        <v>1125</v>
      </c>
      <c r="G71" s="31" t="s">
        <v>73</v>
      </c>
      <c r="H71" s="32"/>
      <c r="I71" s="32">
        <v>4</v>
      </c>
      <c r="J71" s="33">
        <v>11900</v>
      </c>
      <c r="K71" s="34">
        <f t="shared" si="18"/>
        <v>0</v>
      </c>
      <c r="L71" s="90">
        <f t="shared" si="19"/>
        <v>47600</v>
      </c>
      <c r="M71" s="70"/>
      <c r="N71" s="71"/>
      <c r="O71" s="72"/>
      <c r="P71" s="73"/>
      <c r="Q71" s="70"/>
      <c r="R71" s="74"/>
      <c r="S71" s="75"/>
      <c r="T71" s="76"/>
      <c r="U71" s="77"/>
      <c r="V71" s="78"/>
    </row>
    <row r="72" spans="2:22" s="5" customFormat="1" ht="16.5" customHeight="1" x14ac:dyDescent="0.35">
      <c r="B72" s="4"/>
      <c r="C72" s="28"/>
      <c r="D72" s="28"/>
      <c r="E72" s="29"/>
      <c r="F72" s="30" t="s">
        <v>1126</v>
      </c>
      <c r="G72" s="31" t="s">
        <v>120</v>
      </c>
      <c r="H72" s="32"/>
      <c r="I72" s="32">
        <v>100</v>
      </c>
      <c r="J72" s="33">
        <v>209.6</v>
      </c>
      <c r="K72" s="34">
        <f t="shared" si="18"/>
        <v>0</v>
      </c>
      <c r="L72" s="90">
        <f t="shared" si="19"/>
        <v>20960</v>
      </c>
      <c r="M72" s="70"/>
      <c r="N72" s="71"/>
      <c r="O72" s="72"/>
      <c r="P72" s="73"/>
      <c r="Q72" s="70"/>
      <c r="R72" s="74"/>
      <c r="S72" s="75"/>
      <c r="T72" s="76"/>
      <c r="U72" s="77"/>
      <c r="V72" s="78"/>
    </row>
    <row r="73" spans="2:22" s="5" customFormat="1" ht="16.5" customHeight="1" x14ac:dyDescent="0.35">
      <c r="B73" s="4"/>
      <c r="C73" s="28"/>
      <c r="D73" s="28"/>
      <c r="E73" s="29"/>
      <c r="F73" s="30" t="s">
        <v>1131</v>
      </c>
      <c r="G73" s="31" t="s">
        <v>35</v>
      </c>
      <c r="H73" s="32">
        <v>0</v>
      </c>
      <c r="I73" s="32">
        <v>1</v>
      </c>
      <c r="J73" s="33">
        <v>81600</v>
      </c>
      <c r="K73" s="34">
        <f>ROUND(J73*H73,2)</f>
        <v>0</v>
      </c>
      <c r="L73" s="90">
        <f>I73*J73</f>
        <v>81600</v>
      </c>
      <c r="M73" s="70"/>
      <c r="N73" s="71"/>
      <c r="O73" s="72"/>
      <c r="P73" s="73"/>
      <c r="Q73" s="70"/>
      <c r="R73" s="74"/>
      <c r="S73" s="75"/>
      <c r="T73" s="76"/>
      <c r="U73" s="77"/>
      <c r="V73" s="78"/>
    </row>
    <row r="74" spans="2:22" s="5" customFormat="1" ht="16.5" customHeight="1" x14ac:dyDescent="0.35">
      <c r="B74" s="4"/>
      <c r="C74" s="28"/>
      <c r="D74" s="28"/>
      <c r="E74" s="29"/>
      <c r="F74" s="30" t="s">
        <v>1132</v>
      </c>
      <c r="G74" s="31" t="s">
        <v>35</v>
      </c>
      <c r="H74" s="32">
        <v>0</v>
      </c>
      <c r="I74" s="32">
        <v>1</v>
      </c>
      <c r="J74" s="33">
        <v>166826.67000000001</v>
      </c>
      <c r="K74" s="34">
        <f>ROUND(J74*H74,2)</f>
        <v>0</v>
      </c>
      <c r="L74" s="90">
        <f>I74*J74</f>
        <v>166826.67000000001</v>
      </c>
      <c r="M74" s="70"/>
      <c r="N74" s="71"/>
      <c r="O74" s="72"/>
      <c r="P74" s="73"/>
      <c r="Q74" s="70"/>
      <c r="R74" s="74"/>
      <c r="S74" s="75"/>
      <c r="T74" s="76"/>
      <c r="U74" s="77"/>
      <c r="V74" s="78"/>
    </row>
    <row r="75" spans="2:22" s="5" customFormat="1" ht="16.5" customHeight="1" x14ac:dyDescent="0.35">
      <c r="B75" s="4"/>
      <c r="C75" s="28"/>
      <c r="D75" s="28"/>
      <c r="E75" s="29"/>
      <c r="F75" s="30" t="s">
        <v>1133</v>
      </c>
      <c r="G75" s="31" t="s">
        <v>35</v>
      </c>
      <c r="H75" s="32"/>
      <c r="I75" s="32">
        <v>3</v>
      </c>
      <c r="J75" s="33">
        <v>17520</v>
      </c>
      <c r="K75" s="34">
        <f>ROUND(J75*H75,2)</f>
        <v>0</v>
      </c>
      <c r="L75" s="90">
        <f>I75*J75</f>
        <v>52560</v>
      </c>
      <c r="M75" s="70"/>
      <c r="N75" s="71"/>
      <c r="O75" s="72"/>
      <c r="P75" s="73"/>
      <c r="Q75" s="70"/>
      <c r="R75" s="74"/>
      <c r="S75" s="75"/>
      <c r="T75" s="76"/>
      <c r="U75" s="77"/>
      <c r="V75" s="78"/>
    </row>
    <row r="79" spans="2:22" s="5" customFormat="1" ht="16.5" customHeight="1" x14ac:dyDescent="0.35">
      <c r="B79" s="4"/>
      <c r="C79" s="28"/>
      <c r="D79" s="28"/>
      <c r="E79" s="29"/>
      <c r="F79" s="30" t="s">
        <v>1127</v>
      </c>
      <c r="G79" s="31" t="s">
        <v>120</v>
      </c>
      <c r="H79" s="32"/>
      <c r="I79" s="32">
        <v>13</v>
      </c>
      <c r="J79" s="33">
        <v>60.17</v>
      </c>
      <c r="K79" s="34">
        <f>ROUND(J79*H79,2)</f>
        <v>0</v>
      </c>
      <c r="L79" s="90">
        <f>I79*J79</f>
        <v>782.21</v>
      </c>
      <c r="M79" s="70"/>
      <c r="N79" s="71"/>
      <c r="O79" s="72"/>
      <c r="P79" s="73"/>
      <c r="Q79" s="70"/>
      <c r="R79" s="74"/>
      <c r="S79" s="75"/>
      <c r="T79" s="76"/>
      <c r="U79" s="77"/>
      <c r="V79" s="78"/>
    </row>
    <row r="80" spans="2:22" s="5" customFormat="1" ht="16.5" customHeight="1" x14ac:dyDescent="0.35">
      <c r="B80" s="4"/>
      <c r="C80" s="28"/>
      <c r="D80" s="28"/>
      <c r="E80" s="29"/>
      <c r="F80" s="30" t="s">
        <v>1128</v>
      </c>
      <c r="G80" s="31" t="s">
        <v>73</v>
      </c>
      <c r="H80" s="32"/>
      <c r="I80" s="32">
        <v>4</v>
      </c>
      <c r="J80" s="33">
        <v>1430</v>
      </c>
      <c r="K80" s="34">
        <f>ROUND(J80*H80,2)</f>
        <v>0</v>
      </c>
      <c r="L80" s="90">
        <f>I80*J80</f>
        <v>5720</v>
      </c>
      <c r="M80" s="70"/>
      <c r="N80" s="71"/>
      <c r="O80" s="72"/>
      <c r="P80" s="73"/>
      <c r="Q80" s="70"/>
      <c r="R80" s="74"/>
      <c r="S80" s="75"/>
      <c r="T80" s="76"/>
      <c r="U80" s="77"/>
      <c r="V80" s="78"/>
    </row>
    <row r="81" spans="2:22" s="5" customFormat="1" ht="16.5" customHeight="1" x14ac:dyDescent="0.35">
      <c r="B81" s="4"/>
      <c r="C81" s="28"/>
      <c r="D81" s="28"/>
      <c r="E81" s="29"/>
      <c r="F81" s="30" t="s">
        <v>1129</v>
      </c>
      <c r="G81" s="31" t="s">
        <v>35</v>
      </c>
      <c r="H81" s="32"/>
      <c r="I81" s="32">
        <v>1</v>
      </c>
      <c r="J81" s="33">
        <v>45230</v>
      </c>
      <c r="K81" s="34">
        <f>ROUND(J81*H81,2)</f>
        <v>0</v>
      </c>
      <c r="L81" s="90">
        <f>I81*J81</f>
        <v>45230</v>
      </c>
      <c r="M81" s="70"/>
      <c r="N81" s="71"/>
      <c r="O81" s="72"/>
      <c r="P81" s="73"/>
      <c r="Q81" s="70"/>
      <c r="R81" s="74"/>
      <c r="S81" s="75"/>
      <c r="T81" s="76"/>
      <c r="U81" s="77"/>
      <c r="V81" s="78"/>
    </row>
    <row r="82" spans="2:22" x14ac:dyDescent="0.35">
      <c r="F82" s="139" t="s">
        <v>1134</v>
      </c>
      <c r="G82" s="140" t="s">
        <v>35</v>
      </c>
      <c r="I82" s="141">
        <v>1</v>
      </c>
      <c r="J82" s="142">
        <v>12650</v>
      </c>
      <c r="L82" s="90">
        <f>I82*J82</f>
        <v>12650</v>
      </c>
    </row>
  </sheetData>
  <mergeCells count="8">
    <mergeCell ref="E6:H6"/>
    <mergeCell ref="M18:N18"/>
    <mergeCell ref="O18:P18"/>
    <mergeCell ref="Q18:S18"/>
    <mergeCell ref="T18:V18"/>
    <mergeCell ref="E8:H8"/>
    <mergeCell ref="E10:H10"/>
    <mergeCell ref="E12:H12"/>
  </mergeCells>
  <pageMargins left="0.70866141732283472" right="0.70866141732283472" top="0.78740157480314965" bottom="0.78740157480314965" header="0.31496062992125984" footer="0.31496062992125984"/>
  <pageSetup paperSize="9" scale="68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5068-5A50-4298-B355-9C65D3BEE6AA}">
  <sheetPr>
    <pageSetUpPr fitToPage="1"/>
  </sheetPr>
  <dimension ref="B2:V31"/>
  <sheetViews>
    <sheetView view="pageBreakPreview" zoomScale="60" zoomScaleNormal="100" workbookViewId="0">
      <selection activeCell="H19" sqref="H19:L19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.1796875" customWidth="1"/>
    <col min="16" max="16" width="12.453125" customWidth="1"/>
    <col min="18" max="18" width="11.453125" customWidth="1"/>
    <col min="21" max="21" width="11.6328125" customWidth="1"/>
  </cols>
  <sheetData>
    <row r="2" spans="2:12" s="5" customFormat="1" ht="30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12" s="5" customFormat="1" ht="24.9" customHeight="1" x14ac:dyDescent="0.35">
      <c r="B3" s="4"/>
      <c r="C3" s="2" t="s">
        <v>18</v>
      </c>
    </row>
    <row r="4" spans="2:12" s="5" customFormat="1" ht="6.9" customHeight="1" x14ac:dyDescent="0.35">
      <c r="B4" s="4"/>
    </row>
    <row r="5" spans="2:12" s="5" customFormat="1" ht="12" customHeight="1" x14ac:dyDescent="0.35">
      <c r="B5" s="4"/>
      <c r="C5" s="3" t="s">
        <v>1</v>
      </c>
    </row>
    <row r="6" spans="2:1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12" ht="12" customHeight="1" x14ac:dyDescent="0.35">
      <c r="B7" s="1"/>
      <c r="C7" s="3" t="s">
        <v>2</v>
      </c>
    </row>
    <row r="8" spans="2:12" ht="16.5" customHeight="1" x14ac:dyDescent="0.35">
      <c r="B8" s="1"/>
      <c r="E8" s="177" t="s">
        <v>67</v>
      </c>
      <c r="F8" s="183"/>
      <c r="G8" s="183"/>
      <c r="H8" s="183"/>
      <c r="I8" s="5"/>
    </row>
    <row r="9" spans="2:12" ht="12" customHeight="1" x14ac:dyDescent="0.35">
      <c r="B9" s="1"/>
      <c r="C9" s="3" t="s">
        <v>4</v>
      </c>
    </row>
    <row r="10" spans="2:12" s="5" customFormat="1" ht="16.5" customHeight="1" x14ac:dyDescent="0.35">
      <c r="B10" s="4"/>
      <c r="E10" s="187" t="s">
        <v>79</v>
      </c>
      <c r="F10" s="183"/>
      <c r="G10" s="183"/>
      <c r="H10" s="183"/>
    </row>
    <row r="11" spans="2:12" s="5" customFormat="1" ht="12" customHeight="1" x14ac:dyDescent="0.35">
      <c r="B11" s="4"/>
      <c r="C11" s="3" t="s">
        <v>80</v>
      </c>
    </row>
    <row r="12" spans="2:12" s="5" customFormat="1" ht="16.5" customHeight="1" x14ac:dyDescent="0.35">
      <c r="B12" s="4"/>
      <c r="E12" s="169" t="e">
        <f>#REF!</f>
        <v>#REF!</v>
      </c>
      <c r="F12" s="183"/>
      <c r="G12" s="183"/>
      <c r="H12" s="183"/>
    </row>
    <row r="13" spans="2:12" s="5" customFormat="1" ht="6.9" customHeight="1" x14ac:dyDescent="0.35">
      <c r="B13" s="4"/>
    </row>
    <row r="14" spans="2:12" s="5" customFormat="1" ht="12" customHeight="1" x14ac:dyDescent="0.35">
      <c r="B14" s="4"/>
      <c r="C14" s="3" t="s">
        <v>7</v>
      </c>
      <c r="F14" s="6"/>
      <c r="J14" s="3" t="s">
        <v>9</v>
      </c>
      <c r="K14" s="7" t="s">
        <v>1035</v>
      </c>
      <c r="L14" s="7"/>
    </row>
    <row r="15" spans="2:12" s="5" customFormat="1" ht="6.9" customHeight="1" x14ac:dyDescent="0.35">
      <c r="B15" s="4"/>
    </row>
    <row r="16" spans="2:12" s="5" customFormat="1" ht="15.15" customHeight="1" x14ac:dyDescent="0.35">
      <c r="B16" s="4"/>
      <c r="C16" s="3" t="s">
        <v>10</v>
      </c>
      <c r="F16" s="6" t="s">
        <v>11</v>
      </c>
      <c r="J16" s="3" t="s">
        <v>13</v>
      </c>
      <c r="K16" s="8" t="s">
        <v>14</v>
      </c>
      <c r="L16" s="8"/>
    </row>
    <row r="17" spans="2:22" s="5" customFormat="1" ht="15.15" customHeight="1" thickBot="1" x14ac:dyDescent="0.4">
      <c r="B17" s="4"/>
      <c r="C17" s="3" t="s">
        <v>12</v>
      </c>
      <c r="F17" s="6" t="s">
        <v>1036</v>
      </c>
      <c r="J17" s="3" t="s">
        <v>15</v>
      </c>
      <c r="K17" s="8"/>
      <c r="L17" s="8"/>
    </row>
    <row r="18" spans="2:22" s="5" customFormat="1" ht="10.4" customHeight="1" thickBot="1" x14ac:dyDescent="0.4">
      <c r="B18" s="4"/>
      <c r="M18" s="179" t="s">
        <v>1064</v>
      </c>
      <c r="N18" s="180"/>
      <c r="O18" s="179" t="s">
        <v>1068</v>
      </c>
      <c r="P18" s="180"/>
      <c r="Q18" s="179" t="s">
        <v>1066</v>
      </c>
      <c r="R18" s="181"/>
      <c r="S18" s="180"/>
      <c r="T18" s="179" t="s">
        <v>1067</v>
      </c>
      <c r="U18" s="181"/>
      <c r="V18" s="182"/>
    </row>
    <row r="19" spans="2:22" s="19" customFormat="1" ht="29.25" customHeight="1" x14ac:dyDescent="0.35">
      <c r="B19" s="15"/>
      <c r="C19" s="16" t="s">
        <v>19</v>
      </c>
      <c r="D19" s="17" t="s">
        <v>20</v>
      </c>
      <c r="E19" s="17" t="s">
        <v>21</v>
      </c>
      <c r="F19" s="17" t="s">
        <v>22</v>
      </c>
      <c r="G19" s="17" t="s">
        <v>23</v>
      </c>
      <c r="H19" s="17" t="s">
        <v>1121</v>
      </c>
      <c r="I19" s="17" t="s">
        <v>1122</v>
      </c>
      <c r="J19" s="17" t="s">
        <v>25</v>
      </c>
      <c r="K19" s="18" t="s">
        <v>17</v>
      </c>
      <c r="L19" s="18" t="s">
        <v>1123</v>
      </c>
      <c r="M19" s="57" t="s">
        <v>1069</v>
      </c>
      <c r="N19" s="58" t="s">
        <v>1070</v>
      </c>
      <c r="O19" s="57" t="s">
        <v>1069</v>
      </c>
      <c r="P19" s="59" t="s">
        <v>1070</v>
      </c>
      <c r="Q19" s="57" t="s">
        <v>1069</v>
      </c>
      <c r="R19" s="58" t="s">
        <v>1070</v>
      </c>
      <c r="S19" s="59" t="s">
        <v>1071</v>
      </c>
      <c r="T19" s="60" t="s">
        <v>1069</v>
      </c>
      <c r="U19" s="58" t="s">
        <v>1070</v>
      </c>
      <c r="V19" s="61" t="s">
        <v>1071</v>
      </c>
    </row>
    <row r="20" spans="2:22" s="5" customFormat="1" ht="23" customHeight="1" x14ac:dyDescent="0.35">
      <c r="B20" s="4"/>
      <c r="C20" s="20" t="s">
        <v>26</v>
      </c>
      <c r="K20" s="21">
        <f>SUM(K21,K23,K25)</f>
        <v>40125.15</v>
      </c>
      <c r="L20" s="21">
        <f>SUM(L21,L23,L25)</f>
        <v>40125.15</v>
      </c>
      <c r="M20" s="4"/>
      <c r="N20" s="21">
        <f>SUM(N21,N23,N25)</f>
        <v>40125.15</v>
      </c>
      <c r="O20" s="63"/>
      <c r="P20" s="21">
        <f>SUM(P21,P23,P25)</f>
        <v>0</v>
      </c>
      <c r="Q20" s="64"/>
      <c r="R20" s="21">
        <f>SUM(R21,R23,R25)</f>
        <v>40125.15</v>
      </c>
      <c r="S20" s="64"/>
      <c r="T20" s="63"/>
      <c r="U20" s="21">
        <f>SUM(U21,U23,U25)</f>
        <v>0</v>
      </c>
    </row>
    <row r="21" spans="2:22" s="23" customFormat="1" ht="23" customHeight="1" x14ac:dyDescent="0.25">
      <c r="B21" s="22"/>
      <c r="D21" s="24" t="s">
        <v>27</v>
      </c>
      <c r="E21" s="36" t="s">
        <v>81</v>
      </c>
      <c r="F21" s="36" t="s">
        <v>82</v>
      </c>
      <c r="J21" s="26"/>
      <c r="K21" s="37">
        <f>SUM(K22)</f>
        <v>15897.61</v>
      </c>
      <c r="L21" s="37">
        <f>SUM(L22)</f>
        <v>15897.61</v>
      </c>
      <c r="M21" s="65"/>
      <c r="N21" s="37">
        <f>SUM(N22)</f>
        <v>15897.61</v>
      </c>
      <c r="O21" s="67"/>
      <c r="P21" s="37">
        <f>SUM(P22)</f>
        <v>0</v>
      </c>
      <c r="Q21" s="68"/>
      <c r="R21" s="37">
        <f>SUM(R22)</f>
        <v>15897.61</v>
      </c>
      <c r="S21" s="68"/>
      <c r="T21" s="67"/>
      <c r="U21" s="37">
        <f>SUM(U22)</f>
        <v>0</v>
      </c>
      <c r="V21" s="69"/>
    </row>
    <row r="22" spans="2:22" s="5" customFormat="1" ht="66.75" customHeight="1" x14ac:dyDescent="0.35">
      <c r="B22" s="4"/>
      <c r="C22" s="28" t="s">
        <v>31</v>
      </c>
      <c r="D22" s="28" t="s">
        <v>32</v>
      </c>
      <c r="E22" s="29" t="s">
        <v>83</v>
      </c>
      <c r="F22" s="30" t="s">
        <v>84</v>
      </c>
      <c r="G22" s="31" t="s">
        <v>73</v>
      </c>
      <c r="H22" s="32">
        <v>1</v>
      </c>
      <c r="I22" s="32">
        <v>1</v>
      </c>
      <c r="J22" s="33">
        <v>15897.61</v>
      </c>
      <c r="K22" s="34">
        <f>ROUND(J22*H22,2)</f>
        <v>15897.61</v>
      </c>
      <c r="L22" s="90">
        <f>I22*J22</f>
        <v>15897.61</v>
      </c>
      <c r="M22" s="70">
        <v>1</v>
      </c>
      <c r="N22" s="71">
        <f>M22*J22</f>
        <v>15897.61</v>
      </c>
      <c r="O22" s="72"/>
      <c r="P22" s="73">
        <f>O22*J22</f>
        <v>0</v>
      </c>
      <c r="Q22" s="70">
        <f>O22+M22</f>
        <v>1</v>
      </c>
      <c r="R22" s="74">
        <f>Q22*J22</f>
        <v>15897.61</v>
      </c>
      <c r="S22" s="75">
        <f>R22/K22</f>
        <v>1</v>
      </c>
      <c r="T22" s="76">
        <f>H22-Q22</f>
        <v>0</v>
      </c>
      <c r="U22" s="77">
        <f>T22*J22</f>
        <v>0</v>
      </c>
      <c r="V22" s="78">
        <f>T22/H22</f>
        <v>0</v>
      </c>
    </row>
    <row r="23" spans="2:22" s="23" customFormat="1" ht="23" customHeight="1" x14ac:dyDescent="0.25">
      <c r="B23" s="22"/>
      <c r="D23" s="24" t="s">
        <v>27</v>
      </c>
      <c r="E23" s="36" t="s">
        <v>86</v>
      </c>
      <c r="F23" s="36" t="s">
        <v>87</v>
      </c>
      <c r="J23" s="26"/>
      <c r="K23" s="37">
        <f>SUM(K24)</f>
        <v>15135.52</v>
      </c>
      <c r="L23" s="37">
        <f>SUM(L24)</f>
        <v>15135.52</v>
      </c>
      <c r="N23" s="37">
        <f>SUM(N24)</f>
        <v>15135.52</v>
      </c>
      <c r="P23" s="37">
        <f>SUM(P24)</f>
        <v>0</v>
      </c>
      <c r="R23" s="37">
        <f>SUM(R24)</f>
        <v>15135.52</v>
      </c>
      <c r="U23" s="37">
        <f>SUM(U24)</f>
        <v>0</v>
      </c>
    </row>
    <row r="24" spans="2:22" s="5" customFormat="1" ht="21.75" customHeight="1" x14ac:dyDescent="0.35">
      <c r="B24" s="4"/>
      <c r="C24" s="28" t="s">
        <v>0</v>
      </c>
      <c r="D24" s="28" t="s">
        <v>32</v>
      </c>
      <c r="E24" s="29" t="s">
        <v>88</v>
      </c>
      <c r="F24" s="30" t="s">
        <v>89</v>
      </c>
      <c r="G24" s="31" t="s">
        <v>73</v>
      </c>
      <c r="H24" s="32">
        <v>4</v>
      </c>
      <c r="I24" s="32">
        <v>4</v>
      </c>
      <c r="J24" s="33">
        <v>3783.88</v>
      </c>
      <c r="K24" s="34">
        <f>ROUND(J24*H24,2)</f>
        <v>15135.52</v>
      </c>
      <c r="L24" s="90">
        <f>I24*J24</f>
        <v>15135.52</v>
      </c>
      <c r="M24" s="70">
        <v>4</v>
      </c>
      <c r="N24" s="71">
        <f>M24*J24</f>
        <v>15135.52</v>
      </c>
      <c r="O24" s="72"/>
      <c r="P24" s="73">
        <f>O24*J24</f>
        <v>0</v>
      </c>
      <c r="Q24" s="70">
        <f>O24+M24</f>
        <v>4</v>
      </c>
      <c r="R24" s="74">
        <f>Q24*J24</f>
        <v>15135.52</v>
      </c>
      <c r="S24" s="75">
        <f>R24/K24</f>
        <v>1</v>
      </c>
      <c r="T24" s="76">
        <f>H24-Q24</f>
        <v>0</v>
      </c>
      <c r="U24" s="77">
        <f>T24*J24</f>
        <v>0</v>
      </c>
      <c r="V24" s="78">
        <f>T24/H24</f>
        <v>0</v>
      </c>
    </row>
    <row r="25" spans="2:22" s="23" customFormat="1" ht="23" customHeight="1" x14ac:dyDescent="0.25">
      <c r="B25" s="22"/>
      <c r="D25" s="24" t="s">
        <v>27</v>
      </c>
      <c r="E25" s="36" t="s">
        <v>90</v>
      </c>
      <c r="F25" s="36" t="s">
        <v>91</v>
      </c>
      <c r="J25" s="26"/>
      <c r="K25" s="37">
        <f>SUM(K26:K30)</f>
        <v>9092.02</v>
      </c>
      <c r="L25" s="37">
        <f>SUM(L26:L30)</f>
        <v>9092.02</v>
      </c>
      <c r="N25" s="37">
        <f>SUM(N26:N30)</f>
        <v>9092.02</v>
      </c>
      <c r="P25" s="37">
        <f>SUM(P26:P30)</f>
        <v>0</v>
      </c>
      <c r="R25" s="37">
        <f>SUM(R26:R30)</f>
        <v>9092.02</v>
      </c>
      <c r="U25" s="37">
        <f>SUM(U26:U30)</f>
        <v>0</v>
      </c>
    </row>
    <row r="26" spans="2:22" s="5" customFormat="1" ht="16.5" customHeight="1" x14ac:dyDescent="0.35">
      <c r="B26" s="4"/>
      <c r="C26" s="28" t="s">
        <v>38</v>
      </c>
      <c r="D26" s="28" t="s">
        <v>32</v>
      </c>
      <c r="E26" s="29" t="s">
        <v>92</v>
      </c>
      <c r="F26" s="30" t="s">
        <v>93</v>
      </c>
      <c r="G26" s="31" t="s">
        <v>94</v>
      </c>
      <c r="H26" s="32">
        <v>3</v>
      </c>
      <c r="I26" s="32">
        <v>3</v>
      </c>
      <c r="J26" s="33">
        <v>668.53</v>
      </c>
      <c r="K26" s="34">
        <f>ROUND(J26*H26,2)</f>
        <v>2005.59</v>
      </c>
      <c r="L26" s="90">
        <f>I26*J26</f>
        <v>2005.59</v>
      </c>
      <c r="M26" s="70">
        <v>3</v>
      </c>
      <c r="N26" s="71">
        <f>M26*J26</f>
        <v>2005.59</v>
      </c>
      <c r="O26" s="72"/>
      <c r="P26" s="73">
        <f>O26*J26</f>
        <v>0</v>
      </c>
      <c r="Q26" s="70">
        <f>O26+M26</f>
        <v>3</v>
      </c>
      <c r="R26" s="74">
        <f>Q26*J26</f>
        <v>2005.59</v>
      </c>
      <c r="S26" s="75">
        <f>R26/K26</f>
        <v>1</v>
      </c>
      <c r="T26" s="76">
        <f>H26-Q26</f>
        <v>0</v>
      </c>
      <c r="U26" s="77">
        <f>T26*J26</f>
        <v>0</v>
      </c>
      <c r="V26" s="78">
        <f>T26/H26</f>
        <v>0</v>
      </c>
    </row>
    <row r="27" spans="2:22" s="5" customFormat="1" ht="16.5" customHeight="1" x14ac:dyDescent="0.35">
      <c r="B27" s="4"/>
      <c r="C27" s="28" t="s">
        <v>41</v>
      </c>
      <c r="D27" s="28" t="s">
        <v>32</v>
      </c>
      <c r="E27" s="29" t="s">
        <v>95</v>
      </c>
      <c r="F27" s="30" t="s">
        <v>96</v>
      </c>
      <c r="G27" s="31" t="s">
        <v>94</v>
      </c>
      <c r="H27" s="32">
        <v>1</v>
      </c>
      <c r="I27" s="32">
        <v>1</v>
      </c>
      <c r="J27" s="33">
        <v>668.53</v>
      </c>
      <c r="K27" s="34">
        <f>ROUND(J27*H27,2)</f>
        <v>668.53</v>
      </c>
      <c r="L27" s="90">
        <f>I27*J27</f>
        <v>668.53</v>
      </c>
      <c r="M27" s="70">
        <v>1</v>
      </c>
      <c r="N27" s="71">
        <f>M27*J27</f>
        <v>668.53</v>
      </c>
      <c r="O27" s="72"/>
      <c r="P27" s="73">
        <f>O27*J27</f>
        <v>0</v>
      </c>
      <c r="Q27" s="70">
        <f>O27+M27</f>
        <v>1</v>
      </c>
      <c r="R27" s="74">
        <f>Q27*J27</f>
        <v>668.53</v>
      </c>
      <c r="S27" s="75">
        <f>R27/K27</f>
        <v>1</v>
      </c>
      <c r="T27" s="76">
        <f>H27-Q27</f>
        <v>0</v>
      </c>
      <c r="U27" s="77">
        <f>T27*J27</f>
        <v>0</v>
      </c>
      <c r="V27" s="78">
        <f>T27/H27</f>
        <v>0</v>
      </c>
    </row>
    <row r="28" spans="2:22" s="5" customFormat="1" ht="16.5" customHeight="1" x14ac:dyDescent="0.35">
      <c r="B28" s="4"/>
      <c r="C28" s="28" t="s">
        <v>30</v>
      </c>
      <c r="D28" s="28" t="s">
        <v>32</v>
      </c>
      <c r="E28" s="29" t="s">
        <v>97</v>
      </c>
      <c r="F28" s="30" t="s">
        <v>98</v>
      </c>
      <c r="G28" s="31" t="s">
        <v>94</v>
      </c>
      <c r="H28" s="32">
        <v>4</v>
      </c>
      <c r="I28" s="32">
        <v>4</v>
      </c>
      <c r="J28" s="33">
        <v>1069.6500000000001</v>
      </c>
      <c r="K28" s="34">
        <f>ROUND(J28*H28,2)</f>
        <v>4278.6000000000004</v>
      </c>
      <c r="L28" s="90">
        <f>I28*J28</f>
        <v>4278.6000000000004</v>
      </c>
      <c r="M28" s="70">
        <v>4</v>
      </c>
      <c r="N28" s="71">
        <f>M28*J28</f>
        <v>4278.6000000000004</v>
      </c>
      <c r="O28" s="72"/>
      <c r="P28" s="73">
        <f>O28*J28</f>
        <v>0</v>
      </c>
      <c r="Q28" s="70">
        <f>O28+M28</f>
        <v>4</v>
      </c>
      <c r="R28" s="74">
        <f>Q28*J28</f>
        <v>4278.6000000000004</v>
      </c>
      <c r="S28" s="75">
        <f>R28/K28</f>
        <v>1</v>
      </c>
      <c r="T28" s="76">
        <f>H28-Q28</f>
        <v>0</v>
      </c>
      <c r="U28" s="77">
        <f>T28*J28</f>
        <v>0</v>
      </c>
      <c r="V28" s="78">
        <f>T28/H28</f>
        <v>0</v>
      </c>
    </row>
    <row r="29" spans="2:22" s="5" customFormat="1" ht="16.5" customHeight="1" x14ac:dyDescent="0.35">
      <c r="B29" s="4"/>
      <c r="C29" s="28" t="s">
        <v>46</v>
      </c>
      <c r="D29" s="28" t="s">
        <v>32</v>
      </c>
      <c r="E29" s="29" t="s">
        <v>99</v>
      </c>
      <c r="F29" s="30" t="s">
        <v>98</v>
      </c>
      <c r="G29" s="31" t="s">
        <v>100</v>
      </c>
      <c r="H29" s="32">
        <v>1</v>
      </c>
      <c r="I29" s="32">
        <v>1</v>
      </c>
      <c r="J29" s="33">
        <v>1069.6500000000001</v>
      </c>
      <c r="K29" s="34">
        <f>ROUND(J29*H29,2)</f>
        <v>1069.6500000000001</v>
      </c>
      <c r="L29" s="90">
        <f>I29*J29</f>
        <v>1069.6500000000001</v>
      </c>
      <c r="M29" s="70">
        <v>1</v>
      </c>
      <c r="N29" s="71">
        <f>M29*J29</f>
        <v>1069.6500000000001</v>
      </c>
      <c r="O29" s="72"/>
      <c r="P29" s="73">
        <f>O29*J29</f>
        <v>0</v>
      </c>
      <c r="Q29" s="70">
        <f>O29+M29</f>
        <v>1</v>
      </c>
      <c r="R29" s="74">
        <f>Q29*J29</f>
        <v>1069.6500000000001</v>
      </c>
      <c r="S29" s="75">
        <f>R29/K29</f>
        <v>1</v>
      </c>
      <c r="T29" s="76">
        <f>H29-Q29</f>
        <v>0</v>
      </c>
      <c r="U29" s="77">
        <f>T29*J29</f>
        <v>0</v>
      </c>
      <c r="V29" s="78">
        <f>T29/H29</f>
        <v>0</v>
      </c>
    </row>
    <row r="30" spans="2:22" s="5" customFormat="1" ht="16.5" customHeight="1" x14ac:dyDescent="0.35">
      <c r="B30" s="4"/>
      <c r="C30" s="28" t="s">
        <v>49</v>
      </c>
      <c r="D30" s="28" t="s">
        <v>32</v>
      </c>
      <c r="E30" s="29" t="s">
        <v>101</v>
      </c>
      <c r="F30" s="30" t="s">
        <v>98</v>
      </c>
      <c r="G30" s="31" t="s">
        <v>100</v>
      </c>
      <c r="H30" s="32">
        <v>1</v>
      </c>
      <c r="I30" s="32">
        <v>1</v>
      </c>
      <c r="J30" s="33">
        <v>1069.6500000000001</v>
      </c>
      <c r="K30" s="34">
        <f>ROUND(J30*H30,2)</f>
        <v>1069.6500000000001</v>
      </c>
      <c r="L30" s="90">
        <f>I30*J30</f>
        <v>1069.6500000000001</v>
      </c>
      <c r="M30" s="70">
        <v>1</v>
      </c>
      <c r="N30" s="71">
        <f>M30*J30</f>
        <v>1069.6500000000001</v>
      </c>
      <c r="O30" s="72"/>
      <c r="P30" s="73">
        <f>O30*J30</f>
        <v>0</v>
      </c>
      <c r="Q30" s="70">
        <f>O30+M30</f>
        <v>1</v>
      </c>
      <c r="R30" s="74">
        <f>Q30*J30</f>
        <v>1069.6500000000001</v>
      </c>
      <c r="S30" s="75">
        <f>R30/K30</f>
        <v>1</v>
      </c>
      <c r="T30" s="76">
        <f>H30-Q30</f>
        <v>0</v>
      </c>
      <c r="U30" s="77">
        <f>T30*J30</f>
        <v>0</v>
      </c>
      <c r="V30" s="78">
        <f>T30/H30</f>
        <v>0</v>
      </c>
    </row>
    <row r="31" spans="2:22" s="5" customFormat="1" ht="6.9" customHeight="1" x14ac:dyDescent="0.35">
      <c r="B31" s="11"/>
      <c r="C31" s="12"/>
      <c r="D31" s="12"/>
      <c r="E31" s="12"/>
      <c r="F31" s="12"/>
      <c r="G31" s="12"/>
      <c r="H31" s="12"/>
      <c r="I31" s="12"/>
      <c r="J31" s="12"/>
      <c r="K31" s="12"/>
    </row>
  </sheetData>
  <mergeCells count="8">
    <mergeCell ref="E6:H6"/>
    <mergeCell ref="M18:N18"/>
    <mergeCell ref="O18:P18"/>
    <mergeCell ref="Q18:S18"/>
    <mergeCell ref="T18:V18"/>
    <mergeCell ref="E8:H8"/>
    <mergeCell ref="E10:H10"/>
    <mergeCell ref="E12:H1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7F24-E578-4E76-A899-504EF48D998F}">
  <dimension ref="B2:V23"/>
  <sheetViews>
    <sheetView view="pageBreakPreview" topLeftCell="A3" zoomScaleNormal="100" zoomScaleSheetLayoutView="100" workbookViewId="0">
      <selection activeCell="I21" sqref="I21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.90625" customWidth="1"/>
    <col min="16" max="16" width="10.81640625" customWidth="1"/>
    <col min="18" max="18" width="11" customWidth="1"/>
    <col min="19" max="19" width="7.453125" customWidth="1"/>
    <col min="21" max="21" width="12.36328125" customWidth="1"/>
    <col min="22" max="22" width="6.8164062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67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68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 t="s">
        <v>1035</v>
      </c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 t="s">
        <v>8</v>
      </c>
      <c r="L15" s="8"/>
    </row>
    <row r="16" spans="2:22" s="5" customFormat="1" ht="32" customHeight="1" thickBot="1" x14ac:dyDescent="0.4">
      <c r="B16" s="4"/>
      <c r="M16" s="179" t="s">
        <v>1064</v>
      </c>
      <c r="N16" s="180"/>
      <c r="O16" s="179" t="s">
        <v>1072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K19</f>
        <v>190501.53999999998</v>
      </c>
      <c r="L18" s="21">
        <f>L19</f>
        <v>190501.53999999998</v>
      </c>
      <c r="M18" s="4"/>
      <c r="N18" s="21">
        <f>N19</f>
        <v>0</v>
      </c>
      <c r="O18" s="63"/>
      <c r="P18" s="21">
        <f>P19</f>
        <v>31054.54</v>
      </c>
      <c r="Q18" s="64"/>
      <c r="R18" s="21">
        <f>R19</f>
        <v>31054.54</v>
      </c>
      <c r="S18" s="64"/>
      <c r="T18" s="63"/>
      <c r="U18" s="21">
        <f>U19</f>
        <v>159447</v>
      </c>
    </row>
    <row r="19" spans="2:22" s="23" customFormat="1" ht="23" customHeight="1" x14ac:dyDescent="0.25">
      <c r="B19" s="22"/>
      <c r="D19" s="24" t="s">
        <v>27</v>
      </c>
      <c r="E19" s="36" t="s">
        <v>69</v>
      </c>
      <c r="F19" s="36" t="s">
        <v>70</v>
      </c>
      <c r="J19" s="26"/>
      <c r="K19" s="37">
        <f>SUM(K20:K22)</f>
        <v>190501.53999999998</v>
      </c>
      <c r="L19" s="37">
        <f>SUM(L20:L22)</f>
        <v>190501.53999999998</v>
      </c>
      <c r="M19" s="65"/>
      <c r="N19" s="37">
        <f>SUM(N20:N22)</f>
        <v>0</v>
      </c>
      <c r="O19" s="67"/>
      <c r="P19" s="37">
        <f>SUM(P20:P22)</f>
        <v>31054.54</v>
      </c>
      <c r="Q19" s="68"/>
      <c r="R19" s="37">
        <f>SUM(R20:R22)</f>
        <v>31054.54</v>
      </c>
      <c r="S19" s="68"/>
      <c r="T19" s="67"/>
      <c r="U19" s="37">
        <f>SUM(U20:U22)</f>
        <v>159447</v>
      </c>
      <c r="V19" s="69"/>
    </row>
    <row r="20" spans="2:22" s="5" customFormat="1" ht="16.5" customHeight="1" x14ac:dyDescent="0.35">
      <c r="B20" s="4"/>
      <c r="C20" s="28" t="s">
        <v>31</v>
      </c>
      <c r="D20" s="28" t="s">
        <v>32</v>
      </c>
      <c r="E20" s="29" t="s">
        <v>71</v>
      </c>
      <c r="F20" s="30" t="s">
        <v>72</v>
      </c>
      <c r="G20" s="31" t="s">
        <v>73</v>
      </c>
      <c r="H20" s="32">
        <v>2</v>
      </c>
      <c r="I20" s="32">
        <v>2</v>
      </c>
      <c r="J20" s="33">
        <v>19034.38</v>
      </c>
      <c r="K20" s="34">
        <f>ROUND(J20*H20,2)</f>
        <v>38068.76</v>
      </c>
      <c r="L20" s="90">
        <f>I20*J20</f>
        <v>38068.76</v>
      </c>
      <c r="M20" s="70"/>
      <c r="N20" s="71">
        <f>M20*H20</f>
        <v>0</v>
      </c>
      <c r="O20" s="72"/>
      <c r="P20" s="73">
        <f>O20*J20</f>
        <v>0</v>
      </c>
      <c r="Q20" s="70">
        <f>O20+M20</f>
        <v>0</v>
      </c>
      <c r="R20" s="74">
        <f>Q20*J20</f>
        <v>0</v>
      </c>
      <c r="S20" s="75">
        <f>R20/K20</f>
        <v>0</v>
      </c>
      <c r="T20" s="76">
        <f>H20-Q20</f>
        <v>2</v>
      </c>
      <c r="U20" s="77">
        <f>T20*J20</f>
        <v>38068.76</v>
      </c>
      <c r="V20" s="78">
        <f>T20/H20</f>
        <v>1</v>
      </c>
    </row>
    <row r="21" spans="2:22" s="5" customFormat="1" ht="16.5" customHeight="1" x14ac:dyDescent="0.35">
      <c r="B21" s="4"/>
      <c r="C21" s="28" t="s">
        <v>0</v>
      </c>
      <c r="D21" s="28" t="s">
        <v>32</v>
      </c>
      <c r="E21" s="29" t="s">
        <v>75</v>
      </c>
      <c r="F21" s="30" t="s">
        <v>76</v>
      </c>
      <c r="G21" s="31" t="s">
        <v>73</v>
      </c>
      <c r="H21" s="32">
        <v>7</v>
      </c>
      <c r="I21" s="32">
        <v>7</v>
      </c>
      <c r="J21" s="33">
        <v>15527.27</v>
      </c>
      <c r="K21" s="34">
        <f>ROUND(J21*H21,2)</f>
        <v>108690.89</v>
      </c>
      <c r="L21" s="90">
        <f>I21*J21</f>
        <v>108690.89</v>
      </c>
      <c r="M21" s="70"/>
      <c r="N21" s="71">
        <f>M21*H21</f>
        <v>0</v>
      </c>
      <c r="O21" s="72">
        <v>2</v>
      </c>
      <c r="P21" s="73">
        <f>O21*J21</f>
        <v>31054.54</v>
      </c>
      <c r="Q21" s="70">
        <f>O21+M21</f>
        <v>2</v>
      </c>
      <c r="R21" s="74">
        <f>Q21*J21</f>
        <v>31054.54</v>
      </c>
      <c r="S21" s="75">
        <f>R21/K21</f>
        <v>0.2857142857142857</v>
      </c>
      <c r="T21" s="76">
        <f>H21-Q21</f>
        <v>5</v>
      </c>
      <c r="U21" s="77">
        <f>T21*J21</f>
        <v>77636.350000000006</v>
      </c>
      <c r="V21" s="78">
        <f>T21/H21</f>
        <v>0.7142857142857143</v>
      </c>
    </row>
    <row r="22" spans="2:22" s="5" customFormat="1" ht="16.5" customHeight="1" x14ac:dyDescent="0.35">
      <c r="B22" s="4"/>
      <c r="C22" s="28" t="s">
        <v>38</v>
      </c>
      <c r="D22" s="28" t="s">
        <v>32</v>
      </c>
      <c r="E22" s="29" t="s">
        <v>77</v>
      </c>
      <c r="F22" s="30" t="s">
        <v>78</v>
      </c>
      <c r="G22" s="31" t="s">
        <v>73</v>
      </c>
      <c r="H22" s="32">
        <v>3</v>
      </c>
      <c r="I22" s="32">
        <v>3</v>
      </c>
      <c r="J22" s="33">
        <v>14580.63</v>
      </c>
      <c r="K22" s="34">
        <f>ROUND(J22*H22,2)</f>
        <v>43741.89</v>
      </c>
      <c r="L22" s="90">
        <f>I22*J22</f>
        <v>43741.89</v>
      </c>
      <c r="M22" s="70"/>
      <c r="N22" s="71">
        <f>M22*H22</f>
        <v>0</v>
      </c>
      <c r="O22" s="72"/>
      <c r="P22" s="73">
        <f>O22*J22</f>
        <v>0</v>
      </c>
      <c r="Q22" s="70">
        <f>O22+M22</f>
        <v>0</v>
      </c>
      <c r="R22" s="74">
        <f>Q22*J22</f>
        <v>0</v>
      </c>
      <c r="S22" s="75">
        <f>R22/K22</f>
        <v>0</v>
      </c>
      <c r="T22" s="76">
        <f>H22-Q22</f>
        <v>3</v>
      </c>
      <c r="U22" s="77">
        <f>T22*J22</f>
        <v>43741.89</v>
      </c>
      <c r="V22" s="78">
        <f>T22/H22</f>
        <v>1</v>
      </c>
    </row>
    <row r="23" spans="2:22" s="5" customFormat="1" ht="6.9" customHeight="1" x14ac:dyDescent="0.35">
      <c r="B23" s="11"/>
      <c r="C23" s="12"/>
      <c r="D23" s="12"/>
      <c r="E23" s="12"/>
      <c r="F23" s="12"/>
      <c r="G23" s="12"/>
      <c r="H23" s="12"/>
      <c r="I23" s="12"/>
      <c r="J23" s="12"/>
      <c r="K23" s="12"/>
    </row>
  </sheetData>
  <mergeCells count="7">
    <mergeCell ref="Q16:S16"/>
    <mergeCell ref="T16:V16"/>
    <mergeCell ref="E6:H6"/>
    <mergeCell ref="E8:H8"/>
    <mergeCell ref="E10:H10"/>
    <mergeCell ref="M16:N16"/>
    <mergeCell ref="O16:P16"/>
  </mergeCells>
  <pageMargins left="0.7" right="0.7" top="0.78740157499999996" bottom="0.78740157499999996" header="0.3" footer="0.3"/>
  <pageSetup paperSize="9" scale="58" orientation="portrait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867A-A0D0-4500-9616-5F06D9D2E6CA}">
  <sheetPr>
    <pageSetUpPr fitToPage="1"/>
  </sheetPr>
  <dimension ref="B2:T32"/>
  <sheetViews>
    <sheetView view="pageBreakPreview" zoomScale="60" zoomScaleNormal="100" workbookViewId="0">
      <selection activeCell="K21" sqref="K21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8" width="11.453125" customWidth="1"/>
    <col min="9" max="9" width="13" customWidth="1"/>
    <col min="10" max="10" width="18.26953125" customWidth="1"/>
    <col min="12" max="12" width="14" customWidth="1"/>
    <col min="14" max="14" width="12.1796875" customWidth="1"/>
    <col min="16" max="16" width="12.81640625" customWidth="1"/>
    <col min="19" max="19" width="13" customWidth="1"/>
  </cols>
  <sheetData>
    <row r="2" spans="2:20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</row>
    <row r="3" spans="2:20" s="5" customFormat="1" ht="24.9" customHeight="1" x14ac:dyDescent="0.35">
      <c r="B3" s="4"/>
      <c r="C3" s="2" t="s">
        <v>18</v>
      </c>
    </row>
    <row r="4" spans="2:20" s="5" customFormat="1" ht="6.9" customHeight="1" x14ac:dyDescent="0.35">
      <c r="B4" s="4"/>
    </row>
    <row r="5" spans="2:20" s="5" customFormat="1" ht="12" customHeight="1" x14ac:dyDescent="0.35">
      <c r="B5" s="4"/>
      <c r="C5" s="3" t="s">
        <v>1</v>
      </c>
    </row>
    <row r="6" spans="2:20" s="5" customFormat="1" ht="16.5" customHeight="1" x14ac:dyDescent="0.35">
      <c r="B6" s="4"/>
      <c r="E6" s="177" t="s">
        <v>1034</v>
      </c>
      <c r="F6" s="178"/>
      <c r="G6" s="178"/>
      <c r="H6" s="178"/>
    </row>
    <row r="7" spans="2:20" ht="12" customHeight="1" x14ac:dyDescent="0.35">
      <c r="B7" s="1"/>
      <c r="C7" s="3" t="s">
        <v>2</v>
      </c>
    </row>
    <row r="8" spans="2:20" s="5" customFormat="1" ht="16.5" customHeight="1" x14ac:dyDescent="0.35">
      <c r="B8" s="4"/>
      <c r="E8" s="177" t="s">
        <v>3</v>
      </c>
      <c r="F8" s="183"/>
      <c r="G8" s="183"/>
      <c r="H8" s="183"/>
    </row>
    <row r="9" spans="2:20" s="5" customFormat="1" ht="12" customHeight="1" x14ac:dyDescent="0.35">
      <c r="B9" s="4"/>
      <c r="C9" s="3" t="s">
        <v>4</v>
      </c>
    </row>
    <row r="10" spans="2:20" s="5" customFormat="1" ht="16.5" customHeight="1" x14ac:dyDescent="0.35">
      <c r="B10" s="4"/>
      <c r="E10" s="169" t="s">
        <v>5</v>
      </c>
      <c r="F10" s="183"/>
      <c r="G10" s="183"/>
      <c r="H10" s="183"/>
    </row>
    <row r="11" spans="2:20" s="5" customFormat="1" ht="6.9" customHeight="1" x14ac:dyDescent="0.35">
      <c r="B11" s="4"/>
    </row>
    <row r="12" spans="2:20" s="5" customFormat="1" ht="12" customHeight="1" x14ac:dyDescent="0.35">
      <c r="B12" s="4"/>
      <c r="C12" s="3" t="s">
        <v>7</v>
      </c>
      <c r="F12" s="6" t="s">
        <v>8</v>
      </c>
      <c r="I12" s="3" t="s">
        <v>9</v>
      </c>
      <c r="J12" s="7" t="s">
        <v>1035</v>
      </c>
    </row>
    <row r="13" spans="2:20" s="5" customFormat="1" ht="6.9" customHeight="1" x14ac:dyDescent="0.35">
      <c r="B13" s="4"/>
    </row>
    <row r="14" spans="2:20" s="5" customFormat="1" ht="15.15" customHeight="1" x14ac:dyDescent="0.35">
      <c r="B14" s="4"/>
      <c r="C14" s="3" t="s">
        <v>10</v>
      </c>
      <c r="F14" s="6" t="s">
        <v>11</v>
      </c>
      <c r="I14" s="3" t="s">
        <v>13</v>
      </c>
      <c r="J14" s="8" t="s">
        <v>14</v>
      </c>
    </row>
    <row r="15" spans="2:20" s="5" customFormat="1" ht="15.15" customHeight="1" thickBot="1" x14ac:dyDescent="0.4">
      <c r="B15" s="4"/>
      <c r="C15" s="3" t="s">
        <v>12</v>
      </c>
      <c r="F15" s="6" t="s">
        <v>1036</v>
      </c>
      <c r="I15" s="3" t="s">
        <v>15</v>
      </c>
      <c r="J15" s="8" t="s">
        <v>8</v>
      </c>
    </row>
    <row r="16" spans="2:20" s="5" customFormat="1" ht="26" customHeight="1" thickBot="1" x14ac:dyDescent="0.4">
      <c r="B16" s="4"/>
      <c r="K16" s="179" t="s">
        <v>1064</v>
      </c>
      <c r="L16" s="180"/>
      <c r="M16" s="179" t="s">
        <v>1072</v>
      </c>
      <c r="N16" s="180"/>
      <c r="O16" s="179" t="s">
        <v>1066</v>
      </c>
      <c r="P16" s="181"/>
      <c r="Q16" s="180"/>
      <c r="R16" s="179" t="s">
        <v>1067</v>
      </c>
      <c r="S16" s="181"/>
      <c r="T16" s="182"/>
    </row>
    <row r="17" spans="2:20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24</v>
      </c>
      <c r="I17" s="17" t="s">
        <v>25</v>
      </c>
      <c r="J17" s="18" t="s">
        <v>17</v>
      </c>
      <c r="K17" s="57" t="s">
        <v>1069</v>
      </c>
      <c r="L17" s="58" t="s">
        <v>1070</v>
      </c>
      <c r="M17" s="57" t="s">
        <v>1069</v>
      </c>
      <c r="N17" s="59" t="s">
        <v>1070</v>
      </c>
      <c r="O17" s="57" t="s">
        <v>1069</v>
      </c>
      <c r="P17" s="58" t="s">
        <v>1070</v>
      </c>
      <c r="Q17" s="59" t="s">
        <v>1071</v>
      </c>
      <c r="R17" s="60" t="s">
        <v>1069</v>
      </c>
      <c r="S17" s="58" t="s">
        <v>1070</v>
      </c>
      <c r="T17" s="61" t="s">
        <v>1071</v>
      </c>
    </row>
    <row r="18" spans="2:20" s="5" customFormat="1" ht="23" customHeight="1" x14ac:dyDescent="0.35">
      <c r="B18" s="4"/>
      <c r="C18" s="20" t="s">
        <v>26</v>
      </c>
      <c r="J18" s="21">
        <f>J19</f>
        <v>889124.4800000001</v>
      </c>
      <c r="K18" s="4"/>
      <c r="L18" s="21">
        <f>L19</f>
        <v>597979.79799999995</v>
      </c>
      <c r="M18" s="63"/>
      <c r="N18" s="21">
        <f>N19</f>
        <v>8022.3559999999998</v>
      </c>
      <c r="O18" s="64"/>
      <c r="P18" s="21">
        <f>P19</f>
        <v>606002.15399999998</v>
      </c>
      <c r="Q18" s="64"/>
      <c r="R18" s="63"/>
      <c r="S18" s="21">
        <f>S19</f>
        <v>283122.32599999994</v>
      </c>
    </row>
    <row r="19" spans="2:20" s="23" customFormat="1" ht="26" customHeight="1" x14ac:dyDescent="0.35">
      <c r="B19" s="22"/>
      <c r="D19" s="24" t="s">
        <v>27</v>
      </c>
      <c r="E19" s="25" t="s">
        <v>28</v>
      </c>
      <c r="F19" s="25" t="s">
        <v>29</v>
      </c>
      <c r="I19" s="26"/>
      <c r="J19" s="27">
        <f>SUM(J20:J31)</f>
        <v>889124.4800000001</v>
      </c>
      <c r="K19" s="65"/>
      <c r="L19" s="27">
        <f>SUM(L20:L31)</f>
        <v>597979.79799999995</v>
      </c>
      <c r="M19" s="67"/>
      <c r="N19" s="27">
        <f>SUM(N20:N31)</f>
        <v>8022.3559999999998</v>
      </c>
      <c r="O19" s="68"/>
      <c r="P19" s="27">
        <f>SUM(P20:P31)</f>
        <v>606002.15399999998</v>
      </c>
      <c r="Q19" s="68"/>
      <c r="R19" s="67"/>
      <c r="S19" s="27">
        <f>SUM(S20:S31)</f>
        <v>283122.32599999994</v>
      </c>
      <c r="T19" s="69"/>
    </row>
    <row r="20" spans="2:20" s="5" customFormat="1" ht="24.15" customHeight="1" x14ac:dyDescent="0.35">
      <c r="B20" s="4"/>
      <c r="C20" s="28" t="s">
        <v>31</v>
      </c>
      <c r="D20" s="28" t="s">
        <v>32</v>
      </c>
      <c r="E20" s="29" t="s">
        <v>33</v>
      </c>
      <c r="F20" s="30" t="s">
        <v>34</v>
      </c>
      <c r="G20" s="31" t="s">
        <v>35</v>
      </c>
      <c r="H20" s="32">
        <v>1</v>
      </c>
      <c r="I20" s="33">
        <v>80223.56</v>
      </c>
      <c r="J20" s="34">
        <f t="shared" ref="J20:J31" si="0">ROUND(I20*H20,2)</f>
        <v>80223.56</v>
      </c>
      <c r="K20" s="70">
        <v>0.8</v>
      </c>
      <c r="L20" s="71">
        <f>K20*I20</f>
        <v>64178.847999999998</v>
      </c>
      <c r="M20" s="72">
        <v>0.1</v>
      </c>
      <c r="N20" s="73">
        <f>M20*I20</f>
        <v>8022.3559999999998</v>
      </c>
      <c r="O20" s="70">
        <f>M20+K20</f>
        <v>0.9</v>
      </c>
      <c r="P20" s="74">
        <f>O20*I20</f>
        <v>72201.203999999998</v>
      </c>
      <c r="Q20" s="75">
        <f>P20/J20</f>
        <v>0.9</v>
      </c>
      <c r="R20" s="76">
        <f>H20-O20</f>
        <v>9.9999999999999978E-2</v>
      </c>
      <c r="S20" s="77">
        <f>R20*I20</f>
        <v>8022.3559999999979</v>
      </c>
      <c r="T20" s="78">
        <f>R20/H20</f>
        <v>9.9999999999999978E-2</v>
      </c>
    </row>
    <row r="21" spans="2:20" s="5" customFormat="1" ht="16.5" customHeight="1" x14ac:dyDescent="0.35">
      <c r="B21" s="4"/>
      <c r="C21" s="28" t="s">
        <v>0</v>
      </c>
      <c r="D21" s="28" t="s">
        <v>32</v>
      </c>
      <c r="E21" s="29" t="s">
        <v>36</v>
      </c>
      <c r="F21" s="30" t="s">
        <v>37</v>
      </c>
      <c r="G21" s="31" t="s">
        <v>35</v>
      </c>
      <c r="H21" s="32">
        <v>1</v>
      </c>
      <c r="I21" s="33">
        <v>6685.3</v>
      </c>
      <c r="J21" s="34">
        <f t="shared" si="0"/>
        <v>6685.3</v>
      </c>
      <c r="K21" s="70">
        <v>0.85000000000000009</v>
      </c>
      <c r="L21" s="71">
        <f t="shared" ref="L21:L31" si="1">K21*I21</f>
        <v>5682.505000000001</v>
      </c>
      <c r="M21" s="72"/>
      <c r="N21" s="73">
        <f t="shared" ref="N21:N31" si="2">M21*I21</f>
        <v>0</v>
      </c>
      <c r="O21" s="70">
        <f t="shared" ref="O21:O31" si="3">M21+K21</f>
        <v>0.85000000000000009</v>
      </c>
      <c r="P21" s="74">
        <f t="shared" ref="P21:P31" si="4">O21*I21</f>
        <v>5682.505000000001</v>
      </c>
      <c r="Q21" s="75">
        <f t="shared" ref="Q21:Q31" si="5">P21/J21</f>
        <v>0.85000000000000009</v>
      </c>
      <c r="R21" s="76">
        <f t="shared" ref="R21:R31" si="6">H21-O21</f>
        <v>0.14999999999999991</v>
      </c>
      <c r="S21" s="77">
        <f t="shared" ref="S21:S31" si="7">R21*I21</f>
        <v>1002.7949999999994</v>
      </c>
      <c r="T21" s="78">
        <f t="shared" ref="T21:T31" si="8">R21/H21</f>
        <v>0.14999999999999991</v>
      </c>
    </row>
    <row r="22" spans="2:20" s="5" customFormat="1" ht="16.5" customHeight="1" x14ac:dyDescent="0.35">
      <c r="B22" s="4"/>
      <c r="C22" s="28" t="s">
        <v>38</v>
      </c>
      <c r="D22" s="28" t="s">
        <v>32</v>
      </c>
      <c r="E22" s="29" t="s">
        <v>39</v>
      </c>
      <c r="F22" s="30" t="s">
        <v>40</v>
      </c>
      <c r="G22" s="31" t="s">
        <v>35</v>
      </c>
      <c r="H22" s="32">
        <v>1</v>
      </c>
      <c r="I22" s="33">
        <v>40111.78</v>
      </c>
      <c r="J22" s="34">
        <f t="shared" si="0"/>
        <v>40111.78</v>
      </c>
      <c r="K22" s="70">
        <v>0.5</v>
      </c>
      <c r="L22" s="71">
        <f t="shared" si="1"/>
        <v>20055.89</v>
      </c>
      <c r="M22" s="72"/>
      <c r="N22" s="73">
        <f t="shared" si="2"/>
        <v>0</v>
      </c>
      <c r="O22" s="70">
        <f t="shared" si="3"/>
        <v>0.5</v>
      </c>
      <c r="P22" s="74">
        <f t="shared" si="4"/>
        <v>20055.89</v>
      </c>
      <c r="Q22" s="75">
        <f t="shared" si="5"/>
        <v>0.5</v>
      </c>
      <c r="R22" s="76">
        <f t="shared" si="6"/>
        <v>0.5</v>
      </c>
      <c r="S22" s="77">
        <f t="shared" si="7"/>
        <v>20055.89</v>
      </c>
      <c r="T22" s="78">
        <f t="shared" si="8"/>
        <v>0.5</v>
      </c>
    </row>
    <row r="23" spans="2:20" s="5" customFormat="1" ht="16.5" customHeight="1" x14ac:dyDescent="0.35">
      <c r="B23" s="4"/>
      <c r="C23" s="28" t="s">
        <v>41</v>
      </c>
      <c r="D23" s="28" t="s">
        <v>32</v>
      </c>
      <c r="E23" s="29" t="s">
        <v>42</v>
      </c>
      <c r="F23" s="30" t="s">
        <v>43</v>
      </c>
      <c r="G23" s="31" t="s">
        <v>35</v>
      </c>
      <c r="H23" s="32">
        <v>1</v>
      </c>
      <c r="I23" s="33">
        <v>160447.12</v>
      </c>
      <c r="J23" s="34">
        <f t="shared" si="0"/>
        <v>160447.12</v>
      </c>
      <c r="K23" s="70">
        <v>1</v>
      </c>
      <c r="L23" s="71">
        <f t="shared" si="1"/>
        <v>160447.12</v>
      </c>
      <c r="M23" s="72"/>
      <c r="N23" s="73">
        <f t="shared" si="2"/>
        <v>0</v>
      </c>
      <c r="O23" s="70">
        <f t="shared" si="3"/>
        <v>1</v>
      </c>
      <c r="P23" s="74">
        <f t="shared" si="4"/>
        <v>160447.12</v>
      </c>
      <c r="Q23" s="75">
        <f t="shared" si="5"/>
        <v>1</v>
      </c>
      <c r="R23" s="76">
        <f t="shared" si="6"/>
        <v>0</v>
      </c>
      <c r="S23" s="77">
        <f t="shared" si="7"/>
        <v>0</v>
      </c>
      <c r="T23" s="78">
        <f t="shared" si="8"/>
        <v>0</v>
      </c>
    </row>
    <row r="24" spans="2:20" s="5" customFormat="1" ht="24.15" customHeight="1" x14ac:dyDescent="0.35">
      <c r="B24" s="4"/>
      <c r="C24" s="28" t="s">
        <v>30</v>
      </c>
      <c r="D24" s="28" t="s">
        <v>32</v>
      </c>
      <c r="E24" s="29" t="s">
        <v>44</v>
      </c>
      <c r="F24" s="30" t="s">
        <v>45</v>
      </c>
      <c r="G24" s="31" t="s">
        <v>35</v>
      </c>
      <c r="H24" s="32">
        <v>1</v>
      </c>
      <c r="I24" s="33">
        <v>160427.12</v>
      </c>
      <c r="J24" s="34">
        <f t="shared" si="0"/>
        <v>160427.12</v>
      </c>
      <c r="K24" s="70">
        <v>1</v>
      </c>
      <c r="L24" s="71">
        <f t="shared" si="1"/>
        <v>160427.12</v>
      </c>
      <c r="M24" s="72"/>
      <c r="N24" s="73">
        <f t="shared" si="2"/>
        <v>0</v>
      </c>
      <c r="O24" s="70">
        <f t="shared" si="3"/>
        <v>1</v>
      </c>
      <c r="P24" s="74">
        <f t="shared" si="4"/>
        <v>160427.12</v>
      </c>
      <c r="Q24" s="75">
        <f t="shared" si="5"/>
        <v>1</v>
      </c>
      <c r="R24" s="76">
        <f t="shared" si="6"/>
        <v>0</v>
      </c>
      <c r="S24" s="77">
        <f t="shared" si="7"/>
        <v>0</v>
      </c>
      <c r="T24" s="78">
        <f t="shared" si="8"/>
        <v>0</v>
      </c>
    </row>
    <row r="25" spans="2:20" s="5" customFormat="1" ht="44.25" customHeight="1" x14ac:dyDescent="0.35">
      <c r="B25" s="4"/>
      <c r="C25" s="28" t="s">
        <v>46</v>
      </c>
      <c r="D25" s="28" t="s">
        <v>32</v>
      </c>
      <c r="E25" s="29" t="s">
        <v>47</v>
      </c>
      <c r="F25" s="30" t="s">
        <v>48</v>
      </c>
      <c r="G25" s="31" t="s">
        <v>35</v>
      </c>
      <c r="H25" s="32">
        <v>1</v>
      </c>
      <c r="I25" s="33">
        <v>40111.78</v>
      </c>
      <c r="J25" s="34">
        <f t="shared" si="0"/>
        <v>40111.78</v>
      </c>
      <c r="K25" s="70">
        <v>0</v>
      </c>
      <c r="L25" s="71">
        <f t="shared" si="1"/>
        <v>0</v>
      </c>
      <c r="M25" s="72"/>
      <c r="N25" s="73">
        <f t="shared" si="2"/>
        <v>0</v>
      </c>
      <c r="O25" s="70">
        <f t="shared" si="3"/>
        <v>0</v>
      </c>
      <c r="P25" s="74">
        <f t="shared" si="4"/>
        <v>0</v>
      </c>
      <c r="Q25" s="75">
        <f t="shared" si="5"/>
        <v>0</v>
      </c>
      <c r="R25" s="76">
        <f t="shared" si="6"/>
        <v>1</v>
      </c>
      <c r="S25" s="77">
        <f t="shared" si="7"/>
        <v>40111.78</v>
      </c>
      <c r="T25" s="78">
        <f t="shared" si="8"/>
        <v>1</v>
      </c>
    </row>
    <row r="26" spans="2:20" s="5" customFormat="1" ht="24.15" customHeight="1" x14ac:dyDescent="0.35">
      <c r="B26" s="4"/>
      <c r="C26" s="28" t="s">
        <v>49</v>
      </c>
      <c r="D26" s="28" t="s">
        <v>32</v>
      </c>
      <c r="E26" s="29" t="s">
        <v>50</v>
      </c>
      <c r="F26" s="30" t="s">
        <v>51</v>
      </c>
      <c r="G26" s="31" t="s">
        <v>35</v>
      </c>
      <c r="H26" s="32">
        <v>1</v>
      </c>
      <c r="I26" s="33">
        <v>80223.56</v>
      </c>
      <c r="J26" s="34">
        <f t="shared" si="0"/>
        <v>80223.56</v>
      </c>
      <c r="K26" s="70">
        <v>1</v>
      </c>
      <c r="L26" s="71">
        <f t="shared" si="1"/>
        <v>80223.56</v>
      </c>
      <c r="M26" s="72"/>
      <c r="N26" s="73">
        <f t="shared" si="2"/>
        <v>0</v>
      </c>
      <c r="O26" s="70">
        <f t="shared" si="3"/>
        <v>1</v>
      </c>
      <c r="P26" s="74">
        <f t="shared" si="4"/>
        <v>80223.56</v>
      </c>
      <c r="Q26" s="75">
        <f t="shared" si="5"/>
        <v>1</v>
      </c>
      <c r="R26" s="76">
        <f t="shared" si="6"/>
        <v>0</v>
      </c>
      <c r="S26" s="77">
        <f t="shared" si="7"/>
        <v>0</v>
      </c>
      <c r="T26" s="78">
        <f t="shared" si="8"/>
        <v>0</v>
      </c>
    </row>
    <row r="27" spans="2:20" s="5" customFormat="1" ht="16.5" customHeight="1" x14ac:dyDescent="0.35">
      <c r="B27" s="4"/>
      <c r="C27" s="28" t="s">
        <v>52</v>
      </c>
      <c r="D27" s="28" t="s">
        <v>32</v>
      </c>
      <c r="E27" s="29" t="s">
        <v>53</v>
      </c>
      <c r="F27" s="30" t="s">
        <v>54</v>
      </c>
      <c r="G27" s="31" t="s">
        <v>35</v>
      </c>
      <c r="H27" s="32">
        <v>1</v>
      </c>
      <c r="I27" s="33">
        <v>213929.51</v>
      </c>
      <c r="J27" s="34">
        <f t="shared" si="0"/>
        <v>213929.51</v>
      </c>
      <c r="K27" s="70">
        <v>0.5</v>
      </c>
      <c r="L27" s="71">
        <f t="shared" si="1"/>
        <v>106964.755</v>
      </c>
      <c r="M27" s="72"/>
      <c r="N27" s="73">
        <f t="shared" si="2"/>
        <v>0</v>
      </c>
      <c r="O27" s="70">
        <f t="shared" si="3"/>
        <v>0.5</v>
      </c>
      <c r="P27" s="74">
        <f t="shared" si="4"/>
        <v>106964.755</v>
      </c>
      <c r="Q27" s="75">
        <f t="shared" si="5"/>
        <v>0.5</v>
      </c>
      <c r="R27" s="76">
        <f t="shared" si="6"/>
        <v>0.5</v>
      </c>
      <c r="S27" s="77">
        <f t="shared" si="7"/>
        <v>106964.755</v>
      </c>
      <c r="T27" s="78">
        <f t="shared" si="8"/>
        <v>0.5</v>
      </c>
    </row>
    <row r="28" spans="2:20" s="5" customFormat="1" ht="16.5" customHeight="1" x14ac:dyDescent="0.35">
      <c r="B28" s="4"/>
      <c r="C28" s="28" t="s">
        <v>55</v>
      </c>
      <c r="D28" s="28" t="s">
        <v>32</v>
      </c>
      <c r="E28" s="29" t="s">
        <v>56</v>
      </c>
      <c r="F28" s="30" t="s">
        <v>57</v>
      </c>
      <c r="G28" s="31" t="s">
        <v>35</v>
      </c>
      <c r="H28" s="32">
        <v>1</v>
      </c>
      <c r="I28" s="33">
        <v>60167.67</v>
      </c>
      <c r="J28" s="34">
        <f t="shared" si="0"/>
        <v>60167.67</v>
      </c>
      <c r="K28" s="70">
        <v>0</v>
      </c>
      <c r="L28" s="71">
        <f t="shared" si="1"/>
        <v>0</v>
      </c>
      <c r="M28" s="72"/>
      <c r="N28" s="73">
        <f t="shared" si="2"/>
        <v>0</v>
      </c>
      <c r="O28" s="70">
        <f t="shared" si="3"/>
        <v>0</v>
      </c>
      <c r="P28" s="74">
        <f t="shared" si="4"/>
        <v>0</v>
      </c>
      <c r="Q28" s="75">
        <f t="shared" si="5"/>
        <v>0</v>
      </c>
      <c r="R28" s="76">
        <f t="shared" si="6"/>
        <v>1</v>
      </c>
      <c r="S28" s="77">
        <f t="shared" si="7"/>
        <v>60167.67</v>
      </c>
      <c r="T28" s="78">
        <f t="shared" si="8"/>
        <v>1</v>
      </c>
    </row>
    <row r="29" spans="2:20" s="5" customFormat="1" ht="24.15" customHeight="1" x14ac:dyDescent="0.35">
      <c r="B29" s="4"/>
      <c r="C29" s="28" t="s">
        <v>58</v>
      </c>
      <c r="D29" s="28" t="s">
        <v>32</v>
      </c>
      <c r="E29" s="29" t="s">
        <v>59</v>
      </c>
      <c r="F29" s="30" t="s">
        <v>60</v>
      </c>
      <c r="G29" s="31" t="s">
        <v>35</v>
      </c>
      <c r="H29" s="32">
        <v>1</v>
      </c>
      <c r="I29" s="33">
        <v>33426.480000000003</v>
      </c>
      <c r="J29" s="34">
        <f t="shared" si="0"/>
        <v>33426.480000000003</v>
      </c>
      <c r="K29" s="70">
        <v>0</v>
      </c>
      <c r="L29" s="71">
        <f t="shared" si="1"/>
        <v>0</v>
      </c>
      <c r="M29" s="72"/>
      <c r="N29" s="73">
        <f t="shared" si="2"/>
        <v>0</v>
      </c>
      <c r="O29" s="70">
        <f t="shared" si="3"/>
        <v>0</v>
      </c>
      <c r="P29" s="74">
        <f t="shared" si="4"/>
        <v>0</v>
      </c>
      <c r="Q29" s="75">
        <f t="shared" si="5"/>
        <v>0</v>
      </c>
      <c r="R29" s="76">
        <f t="shared" si="6"/>
        <v>1</v>
      </c>
      <c r="S29" s="77">
        <f t="shared" si="7"/>
        <v>33426.480000000003</v>
      </c>
      <c r="T29" s="78">
        <f t="shared" si="8"/>
        <v>1</v>
      </c>
    </row>
    <row r="30" spans="2:20" s="5" customFormat="1" ht="24.15" customHeight="1" x14ac:dyDescent="0.35">
      <c r="B30" s="4"/>
      <c r="C30" s="28" t="s">
        <v>61</v>
      </c>
      <c r="D30" s="28" t="s">
        <v>32</v>
      </c>
      <c r="E30" s="29" t="s">
        <v>62</v>
      </c>
      <c r="F30" s="30" t="s">
        <v>63</v>
      </c>
      <c r="G30" s="31" t="s">
        <v>35</v>
      </c>
      <c r="H30" s="32">
        <v>1</v>
      </c>
      <c r="I30" s="33">
        <v>6685.3</v>
      </c>
      <c r="J30" s="34">
        <f t="shared" si="0"/>
        <v>6685.3</v>
      </c>
      <c r="K30" s="70">
        <v>0</v>
      </c>
      <c r="L30" s="71">
        <f t="shared" si="1"/>
        <v>0</v>
      </c>
      <c r="M30" s="72"/>
      <c r="N30" s="73">
        <f t="shared" si="2"/>
        <v>0</v>
      </c>
      <c r="O30" s="70">
        <f t="shared" si="3"/>
        <v>0</v>
      </c>
      <c r="P30" s="74">
        <f t="shared" si="4"/>
        <v>0</v>
      </c>
      <c r="Q30" s="75">
        <f t="shared" si="5"/>
        <v>0</v>
      </c>
      <c r="R30" s="76">
        <f t="shared" si="6"/>
        <v>1</v>
      </c>
      <c r="S30" s="77">
        <f t="shared" si="7"/>
        <v>6685.3</v>
      </c>
      <c r="T30" s="78">
        <f t="shared" si="8"/>
        <v>1</v>
      </c>
    </row>
    <row r="31" spans="2:20" s="5" customFormat="1" ht="24.15" customHeight="1" x14ac:dyDescent="0.35">
      <c r="B31" s="4"/>
      <c r="C31" s="28" t="s">
        <v>64</v>
      </c>
      <c r="D31" s="28" t="s">
        <v>32</v>
      </c>
      <c r="E31" s="29" t="s">
        <v>65</v>
      </c>
      <c r="F31" s="30" t="s">
        <v>66</v>
      </c>
      <c r="G31" s="31" t="s">
        <v>35</v>
      </c>
      <c r="H31" s="32">
        <v>1</v>
      </c>
      <c r="I31" s="33">
        <v>6685.3</v>
      </c>
      <c r="J31" s="34">
        <f t="shared" si="0"/>
        <v>6685.3</v>
      </c>
      <c r="K31" s="70">
        <v>0</v>
      </c>
      <c r="L31" s="71">
        <f t="shared" si="1"/>
        <v>0</v>
      </c>
      <c r="M31" s="72"/>
      <c r="N31" s="73">
        <f t="shared" si="2"/>
        <v>0</v>
      </c>
      <c r="O31" s="70">
        <f t="shared" si="3"/>
        <v>0</v>
      </c>
      <c r="P31" s="74">
        <f t="shared" si="4"/>
        <v>0</v>
      </c>
      <c r="Q31" s="75">
        <f t="shared" si="5"/>
        <v>0</v>
      </c>
      <c r="R31" s="76">
        <f t="shared" si="6"/>
        <v>1</v>
      </c>
      <c r="S31" s="77">
        <f t="shared" si="7"/>
        <v>6685.3</v>
      </c>
      <c r="T31" s="78">
        <f t="shared" si="8"/>
        <v>1</v>
      </c>
    </row>
    <row r="32" spans="2:20" s="5" customFormat="1" ht="6.9" customHeight="1" x14ac:dyDescent="0.35">
      <c r="B32" s="11"/>
      <c r="C32" s="12"/>
      <c r="D32" s="12"/>
      <c r="E32" s="12"/>
      <c r="F32" s="12"/>
      <c r="G32" s="12"/>
      <c r="H32" s="12"/>
      <c r="I32" s="12"/>
      <c r="J32" s="12"/>
    </row>
  </sheetData>
  <mergeCells count="7">
    <mergeCell ref="O16:Q16"/>
    <mergeCell ref="R16:T16"/>
    <mergeCell ref="E6:H6"/>
    <mergeCell ref="E8:H8"/>
    <mergeCell ref="E10:H10"/>
    <mergeCell ref="K16:L16"/>
    <mergeCell ref="M16:N16"/>
  </mergeCells>
  <pageMargins left="0.70866141732283472" right="0.70866141732283472" top="0.78740157480314965" bottom="0.78740157480314965" header="0.31496062992125984" footer="0.31496062992125984"/>
  <pageSetup paperSize="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887C-F2BC-4F6C-B438-B1DA732F896F}">
  <sheetPr>
    <pageSetUpPr fitToPage="1"/>
  </sheetPr>
  <dimension ref="B2:T64"/>
  <sheetViews>
    <sheetView view="pageBreakPreview" zoomScaleNormal="100" zoomScaleSheetLayoutView="100" workbookViewId="0">
      <selection activeCell="N18" sqref="N18"/>
    </sheetView>
  </sheetViews>
  <sheetFormatPr defaultRowHeight="14.5" x14ac:dyDescent="0.35"/>
  <cols>
    <col min="1" max="1" width="6.81640625" customWidth="1"/>
    <col min="2" max="2" width="1" customWidth="1"/>
    <col min="3" max="3" width="3.36328125" customWidth="1"/>
    <col min="4" max="4" width="3.54296875" customWidth="1"/>
    <col min="5" max="5" width="14" customWidth="1"/>
    <col min="6" max="6" width="41.54296875" customWidth="1"/>
    <col min="7" max="7" width="6.08984375" customWidth="1"/>
    <col min="8" max="8" width="11.453125" customWidth="1"/>
    <col min="9" max="9" width="12.90625" customWidth="1"/>
    <col min="10" max="10" width="18.26953125" customWidth="1"/>
    <col min="12" max="12" width="11.81640625" customWidth="1"/>
    <col min="13" max="13" width="10.90625" customWidth="1"/>
    <col min="14" max="14" width="12.08984375" customWidth="1"/>
    <col min="16" max="16" width="12.26953125" customWidth="1"/>
    <col min="19" max="19" width="14.08984375" customWidth="1"/>
  </cols>
  <sheetData>
    <row r="2" spans="2:20" s="5" customFormat="1" ht="7" customHeight="1" x14ac:dyDescent="0.35">
      <c r="B2" s="13"/>
      <c r="C2" s="14"/>
      <c r="D2" s="14"/>
      <c r="E2" s="14"/>
      <c r="F2" s="14"/>
      <c r="G2" s="14"/>
      <c r="H2" s="14"/>
      <c r="I2" s="14"/>
      <c r="J2" s="14"/>
    </row>
    <row r="3" spans="2:20" s="5" customFormat="1" ht="25" customHeight="1" x14ac:dyDescent="0.35">
      <c r="B3" s="4"/>
      <c r="C3" s="98" t="s">
        <v>18</v>
      </c>
    </row>
    <row r="4" spans="2:20" s="5" customFormat="1" ht="7" customHeight="1" x14ac:dyDescent="0.35">
      <c r="B4" s="4"/>
    </row>
    <row r="5" spans="2:20" s="5" customFormat="1" ht="12" customHeight="1" x14ac:dyDescent="0.35">
      <c r="B5" s="4"/>
      <c r="C5" s="99" t="s">
        <v>1</v>
      </c>
    </row>
    <row r="6" spans="2:20" s="5" customFormat="1" ht="16.5" customHeight="1" x14ac:dyDescent="0.35">
      <c r="B6" s="4"/>
      <c r="E6" s="188" t="s">
        <v>1034</v>
      </c>
      <c r="F6" s="189"/>
      <c r="G6" s="189"/>
      <c r="H6" s="189"/>
    </row>
    <row r="7" spans="2:20" s="5" customFormat="1" ht="12" customHeight="1" x14ac:dyDescent="0.35">
      <c r="B7" s="4"/>
      <c r="C7" s="99" t="s">
        <v>2</v>
      </c>
    </row>
    <row r="8" spans="2:20" s="5" customFormat="1" ht="30" customHeight="1" x14ac:dyDescent="0.35">
      <c r="B8" s="4"/>
      <c r="E8" s="190" t="s">
        <v>1085</v>
      </c>
      <c r="F8" s="183"/>
      <c r="G8" s="183"/>
      <c r="H8" s="183"/>
    </row>
    <row r="9" spans="2:20" s="5" customFormat="1" ht="7" customHeight="1" x14ac:dyDescent="0.35">
      <c r="B9" s="4"/>
    </row>
    <row r="10" spans="2:20" s="5" customFormat="1" ht="12" customHeight="1" x14ac:dyDescent="0.35">
      <c r="B10" s="4"/>
      <c r="C10" s="99" t="s">
        <v>7</v>
      </c>
      <c r="F10" s="100" t="s">
        <v>8</v>
      </c>
      <c r="I10" s="99" t="s">
        <v>9</v>
      </c>
      <c r="J10" s="101" t="s">
        <v>1035</v>
      </c>
    </row>
    <row r="11" spans="2:20" s="5" customFormat="1" ht="7" customHeight="1" x14ac:dyDescent="0.35">
      <c r="B11" s="4"/>
    </row>
    <row r="12" spans="2:20" s="5" customFormat="1" ht="15.15" customHeight="1" x14ac:dyDescent="0.35">
      <c r="B12" s="4"/>
      <c r="C12" s="99" t="s">
        <v>10</v>
      </c>
      <c r="F12" s="100" t="s">
        <v>11</v>
      </c>
      <c r="I12" s="99" t="s">
        <v>13</v>
      </c>
      <c r="J12" s="102" t="s">
        <v>14</v>
      </c>
    </row>
    <row r="13" spans="2:20" s="5" customFormat="1" ht="15.15" customHeight="1" thickBot="1" x14ac:dyDescent="0.4">
      <c r="B13" s="4"/>
      <c r="C13" s="99" t="s">
        <v>12</v>
      </c>
      <c r="F13" s="100" t="s">
        <v>1086</v>
      </c>
      <c r="I13" s="99" t="s">
        <v>15</v>
      </c>
      <c r="J13" s="102" t="s">
        <v>8</v>
      </c>
    </row>
    <row r="14" spans="2:20" s="5" customFormat="1" ht="32.5" customHeight="1" thickBot="1" x14ac:dyDescent="0.4">
      <c r="B14" s="4"/>
      <c r="K14" s="179" t="s">
        <v>1064</v>
      </c>
      <c r="L14" s="180"/>
      <c r="M14" s="179" t="s">
        <v>1072</v>
      </c>
      <c r="N14" s="180"/>
      <c r="O14" s="179" t="s">
        <v>1066</v>
      </c>
      <c r="P14" s="181"/>
      <c r="Q14" s="180"/>
      <c r="R14" s="179" t="s">
        <v>1067</v>
      </c>
      <c r="S14" s="181"/>
      <c r="T14" s="182"/>
    </row>
    <row r="15" spans="2:20" s="19" customFormat="1" ht="29.25" customHeight="1" x14ac:dyDescent="0.35">
      <c r="B15" s="15"/>
      <c r="C15" s="103" t="s">
        <v>19</v>
      </c>
      <c r="D15" s="104" t="s">
        <v>20</v>
      </c>
      <c r="E15" s="104" t="s">
        <v>21</v>
      </c>
      <c r="F15" s="104" t="s">
        <v>22</v>
      </c>
      <c r="G15" s="104" t="s">
        <v>23</v>
      </c>
      <c r="H15" s="104" t="s">
        <v>1075</v>
      </c>
      <c r="I15" s="104" t="s">
        <v>25</v>
      </c>
      <c r="J15" s="105" t="s">
        <v>1078</v>
      </c>
      <c r="K15" s="57" t="s">
        <v>1069</v>
      </c>
      <c r="L15" s="58" t="s">
        <v>1070</v>
      </c>
      <c r="M15" s="57" t="s">
        <v>1069</v>
      </c>
      <c r="N15" s="59" t="s">
        <v>1070</v>
      </c>
      <c r="O15" s="57" t="s">
        <v>1069</v>
      </c>
      <c r="P15" s="58" t="s">
        <v>1070</v>
      </c>
      <c r="Q15" s="59" t="s">
        <v>1071</v>
      </c>
      <c r="R15" s="60" t="s">
        <v>1069</v>
      </c>
      <c r="S15" s="58" t="s">
        <v>1070</v>
      </c>
      <c r="T15" s="61" t="s">
        <v>1071</v>
      </c>
    </row>
    <row r="16" spans="2:20" s="5" customFormat="1" ht="22.75" customHeight="1" x14ac:dyDescent="0.35">
      <c r="B16" s="4"/>
      <c r="C16" s="106" t="s">
        <v>26</v>
      </c>
      <c r="J16" s="107">
        <f>J17</f>
        <v>507682.69</v>
      </c>
      <c r="K16" s="4"/>
      <c r="L16" s="21">
        <f>L17</f>
        <v>507682.685215</v>
      </c>
      <c r="M16" s="63"/>
      <c r="N16" s="21">
        <f>N17</f>
        <v>0</v>
      </c>
      <c r="O16" s="64"/>
      <c r="P16" s="21">
        <f>P17</f>
        <v>507682.685215</v>
      </c>
      <c r="Q16" s="64"/>
      <c r="R16" s="63"/>
      <c r="S16" s="21">
        <f>S17</f>
        <v>0</v>
      </c>
    </row>
    <row r="17" spans="2:20" s="69" customFormat="1" ht="25.9" customHeight="1" x14ac:dyDescent="0.35">
      <c r="B17" s="65"/>
      <c r="D17" s="108" t="s">
        <v>27</v>
      </c>
      <c r="E17" s="109" t="s">
        <v>202</v>
      </c>
      <c r="F17" s="109" t="s">
        <v>203</v>
      </c>
      <c r="I17" s="110"/>
      <c r="J17" s="111">
        <f>SUM(J18,J31,J34,J38,J44,J61)</f>
        <v>507682.69</v>
      </c>
      <c r="K17" s="65"/>
      <c r="L17" s="37">
        <f>SUM(L18,L31,L34,L38,L44,L61)-0.02</f>
        <v>507682.685215</v>
      </c>
      <c r="M17" s="67"/>
      <c r="N17" s="37">
        <f>SUM(N18,N31,N34,N38,N44,N61)</f>
        <v>0</v>
      </c>
      <c r="O17" s="68"/>
      <c r="P17" s="37">
        <f>SUM(P18,P31,P34,P38,P44,P61)-0.02</f>
        <v>507682.685215</v>
      </c>
      <c r="Q17" s="68"/>
      <c r="R17" s="67"/>
      <c r="S17" s="37">
        <f>SUM(S18,S31,S34,S38,S44,S61)</f>
        <v>0</v>
      </c>
    </row>
    <row r="18" spans="2:20" s="69" customFormat="1" ht="22.75" customHeight="1" x14ac:dyDescent="0.25">
      <c r="B18" s="65"/>
      <c r="D18" s="108" t="s">
        <v>27</v>
      </c>
      <c r="E18" s="112" t="s">
        <v>31</v>
      </c>
      <c r="F18" s="112" t="s">
        <v>204</v>
      </c>
      <c r="I18" s="110"/>
      <c r="J18" s="113">
        <f>SUM(J19:J30)</f>
        <v>80021.37</v>
      </c>
      <c r="L18" s="113">
        <f>SUM(L19:L30)</f>
        <v>80021.391015000001</v>
      </c>
      <c r="M18" s="114"/>
      <c r="N18" s="113">
        <f>SUM(N19:N30)</f>
        <v>0</v>
      </c>
      <c r="P18" s="113">
        <f>SUM(P19:P30)</f>
        <v>80021.391015000001</v>
      </c>
      <c r="S18" s="113">
        <f>SUM(S19:S30)</f>
        <v>0</v>
      </c>
    </row>
    <row r="19" spans="2:20" s="5" customFormat="1" ht="24.15" customHeight="1" x14ac:dyDescent="0.35">
      <c r="B19" s="115"/>
      <c r="C19" s="116">
        <v>1</v>
      </c>
      <c r="D19" s="116" t="s">
        <v>32</v>
      </c>
      <c r="E19" s="117" t="s">
        <v>862</v>
      </c>
      <c r="F19" s="118" t="s">
        <v>863</v>
      </c>
      <c r="G19" s="119" t="s">
        <v>214</v>
      </c>
      <c r="H19" s="120">
        <v>34.582700000000003</v>
      </c>
      <c r="I19" s="121">
        <v>113.65</v>
      </c>
      <c r="J19" s="122">
        <f t="shared" ref="J19:J30" si="0">ROUND(I19*H19,2)</f>
        <v>3930.32</v>
      </c>
      <c r="K19" s="70">
        <v>34.582700000000003</v>
      </c>
      <c r="L19" s="71">
        <f>K19*I19</f>
        <v>3930.3238550000005</v>
      </c>
      <c r="M19" s="72"/>
      <c r="N19" s="73">
        <f>M19*I19</f>
        <v>0</v>
      </c>
      <c r="O19" s="70">
        <f>M19+K19</f>
        <v>34.582700000000003</v>
      </c>
      <c r="P19" s="74">
        <f>O19*I19</f>
        <v>3930.3238550000005</v>
      </c>
      <c r="Q19" s="75">
        <f>P19/J19</f>
        <v>1.0000009808361661</v>
      </c>
      <c r="R19" s="76">
        <f>H19-O19</f>
        <v>0</v>
      </c>
      <c r="S19" s="77">
        <f>R19*I19</f>
        <v>0</v>
      </c>
      <c r="T19" s="78">
        <f>R19/H19</f>
        <v>0</v>
      </c>
    </row>
    <row r="20" spans="2:20" s="5" customFormat="1" ht="33" customHeight="1" x14ac:dyDescent="0.35">
      <c r="B20" s="115"/>
      <c r="C20" s="116">
        <v>2</v>
      </c>
      <c r="D20" s="116" t="s">
        <v>32</v>
      </c>
      <c r="E20" s="117" t="s">
        <v>864</v>
      </c>
      <c r="F20" s="118" t="s">
        <v>865</v>
      </c>
      <c r="G20" s="119" t="s">
        <v>214</v>
      </c>
      <c r="H20" s="120">
        <v>27.72</v>
      </c>
      <c r="I20" s="121">
        <v>307.52</v>
      </c>
      <c r="J20" s="122">
        <f t="shared" si="0"/>
        <v>8524.4500000000007</v>
      </c>
      <c r="K20" s="70">
        <v>27.72</v>
      </c>
      <c r="L20" s="71">
        <f t="shared" ref="L20:L30" si="1">K20*I20</f>
        <v>8524.4543999999987</v>
      </c>
      <c r="M20" s="72"/>
      <c r="N20" s="73">
        <f t="shared" ref="N20:N30" si="2">M20*I20</f>
        <v>0</v>
      </c>
      <c r="O20" s="70">
        <f t="shared" ref="O20:O30" si="3">M20+K20</f>
        <v>27.72</v>
      </c>
      <c r="P20" s="74">
        <f t="shared" ref="P20:P30" si="4">O20*I20</f>
        <v>8524.4543999999987</v>
      </c>
      <c r="Q20" s="75">
        <f t="shared" ref="Q20:Q30" si="5">P20/J20</f>
        <v>1.0000005161623329</v>
      </c>
      <c r="R20" s="76">
        <f t="shared" ref="R20:R30" si="6">H20-O20</f>
        <v>0</v>
      </c>
      <c r="S20" s="77">
        <f t="shared" ref="S20:S30" si="7">R20*I20</f>
        <v>0</v>
      </c>
      <c r="T20" s="78">
        <f t="shared" ref="T20:T30" si="8">R20/H20</f>
        <v>0</v>
      </c>
    </row>
    <row r="21" spans="2:20" s="5" customFormat="1" ht="24.15" customHeight="1" x14ac:dyDescent="0.35">
      <c r="B21" s="115"/>
      <c r="C21" s="116">
        <v>3</v>
      </c>
      <c r="D21" s="116" t="s">
        <v>32</v>
      </c>
      <c r="E21" s="117" t="s">
        <v>757</v>
      </c>
      <c r="F21" s="118" t="s">
        <v>758</v>
      </c>
      <c r="G21" s="119" t="s">
        <v>214</v>
      </c>
      <c r="H21" s="120">
        <v>62.304000000000002</v>
      </c>
      <c r="I21" s="121">
        <v>93.59</v>
      </c>
      <c r="J21" s="122">
        <f t="shared" si="0"/>
        <v>5831.03</v>
      </c>
      <c r="K21" s="70">
        <v>62.304000000000002</v>
      </c>
      <c r="L21" s="71">
        <f t="shared" si="1"/>
        <v>5831.0313599999999</v>
      </c>
      <c r="M21" s="72"/>
      <c r="N21" s="73">
        <f t="shared" si="2"/>
        <v>0</v>
      </c>
      <c r="O21" s="70">
        <f t="shared" si="3"/>
        <v>62.304000000000002</v>
      </c>
      <c r="P21" s="74">
        <f t="shared" si="4"/>
        <v>5831.0313599999999</v>
      </c>
      <c r="Q21" s="75">
        <f t="shared" si="5"/>
        <v>1.0000002332349516</v>
      </c>
      <c r="R21" s="76">
        <f t="shared" si="6"/>
        <v>0</v>
      </c>
      <c r="S21" s="77">
        <f t="shared" si="7"/>
        <v>0</v>
      </c>
      <c r="T21" s="78">
        <f t="shared" si="8"/>
        <v>0</v>
      </c>
    </row>
    <row r="22" spans="2:20" s="5" customFormat="1" ht="37.75" customHeight="1" x14ac:dyDescent="0.35">
      <c r="B22" s="115"/>
      <c r="C22" s="116">
        <v>4</v>
      </c>
      <c r="D22" s="116" t="s">
        <v>32</v>
      </c>
      <c r="E22" s="117" t="s">
        <v>217</v>
      </c>
      <c r="F22" s="118" t="s">
        <v>218</v>
      </c>
      <c r="G22" s="119" t="s">
        <v>214</v>
      </c>
      <c r="H22" s="120">
        <v>62.304000000000002</v>
      </c>
      <c r="I22" s="121">
        <v>213.93</v>
      </c>
      <c r="J22" s="122">
        <f t="shared" si="0"/>
        <v>13328.69</v>
      </c>
      <c r="K22" s="70">
        <v>62.304000000000002</v>
      </c>
      <c r="L22" s="71">
        <f t="shared" si="1"/>
        <v>13328.694720000001</v>
      </c>
      <c r="M22" s="72"/>
      <c r="N22" s="73">
        <f t="shared" si="2"/>
        <v>0</v>
      </c>
      <c r="O22" s="70">
        <f t="shared" si="3"/>
        <v>62.304000000000002</v>
      </c>
      <c r="P22" s="74">
        <f t="shared" si="4"/>
        <v>13328.694720000001</v>
      </c>
      <c r="Q22" s="75">
        <f t="shared" si="5"/>
        <v>1.0000003541233236</v>
      </c>
      <c r="R22" s="76">
        <f t="shared" si="6"/>
        <v>0</v>
      </c>
      <c r="S22" s="77">
        <f t="shared" si="7"/>
        <v>0</v>
      </c>
      <c r="T22" s="78">
        <f t="shared" si="8"/>
        <v>0</v>
      </c>
    </row>
    <row r="23" spans="2:20" s="5" customFormat="1" ht="37.75" customHeight="1" x14ac:dyDescent="0.35">
      <c r="B23" s="115"/>
      <c r="C23" s="116">
        <v>5</v>
      </c>
      <c r="D23" s="116" t="s">
        <v>32</v>
      </c>
      <c r="E23" s="117" t="s">
        <v>759</v>
      </c>
      <c r="F23" s="118" t="s">
        <v>760</v>
      </c>
      <c r="G23" s="119" t="s">
        <v>214</v>
      </c>
      <c r="H23" s="120">
        <v>623.04</v>
      </c>
      <c r="I23" s="121">
        <v>1.34</v>
      </c>
      <c r="J23" s="122">
        <f t="shared" si="0"/>
        <v>834.87</v>
      </c>
      <c r="K23" s="70">
        <v>623.04</v>
      </c>
      <c r="L23" s="71">
        <f t="shared" si="1"/>
        <v>834.87360000000001</v>
      </c>
      <c r="M23" s="72"/>
      <c r="N23" s="73">
        <f t="shared" si="2"/>
        <v>0</v>
      </c>
      <c r="O23" s="70">
        <f t="shared" si="3"/>
        <v>623.04</v>
      </c>
      <c r="P23" s="74">
        <f t="shared" si="4"/>
        <v>834.87360000000001</v>
      </c>
      <c r="Q23" s="75">
        <f t="shared" si="5"/>
        <v>1.0000043120485824</v>
      </c>
      <c r="R23" s="76">
        <f t="shared" si="6"/>
        <v>0</v>
      </c>
      <c r="S23" s="77">
        <f t="shared" si="7"/>
        <v>0</v>
      </c>
      <c r="T23" s="78">
        <f t="shared" si="8"/>
        <v>0</v>
      </c>
    </row>
    <row r="24" spans="2:20" s="5" customFormat="1" ht="24.15" customHeight="1" x14ac:dyDescent="0.35">
      <c r="B24" s="115"/>
      <c r="C24" s="116">
        <v>6</v>
      </c>
      <c r="D24" s="116" t="s">
        <v>32</v>
      </c>
      <c r="E24" s="117" t="s">
        <v>224</v>
      </c>
      <c r="F24" s="118" t="s">
        <v>225</v>
      </c>
      <c r="G24" s="119" t="s">
        <v>214</v>
      </c>
      <c r="H24" s="120">
        <v>62.304000000000002</v>
      </c>
      <c r="I24" s="121">
        <v>60.17</v>
      </c>
      <c r="J24" s="122">
        <f t="shared" si="0"/>
        <v>3748.83</v>
      </c>
      <c r="K24" s="70">
        <v>62.304000000000002</v>
      </c>
      <c r="L24" s="71">
        <f t="shared" si="1"/>
        <v>3748.8316800000002</v>
      </c>
      <c r="M24" s="72"/>
      <c r="N24" s="73">
        <f t="shared" si="2"/>
        <v>0</v>
      </c>
      <c r="O24" s="70">
        <f t="shared" si="3"/>
        <v>62.304000000000002</v>
      </c>
      <c r="P24" s="74">
        <f t="shared" si="4"/>
        <v>3748.8316800000002</v>
      </c>
      <c r="Q24" s="75">
        <f t="shared" si="5"/>
        <v>1.0000004481398197</v>
      </c>
      <c r="R24" s="76">
        <f t="shared" si="6"/>
        <v>0</v>
      </c>
      <c r="S24" s="77">
        <f t="shared" si="7"/>
        <v>0</v>
      </c>
      <c r="T24" s="78">
        <f t="shared" si="8"/>
        <v>0</v>
      </c>
    </row>
    <row r="25" spans="2:20" s="5" customFormat="1" ht="33" customHeight="1" x14ac:dyDescent="0.35">
      <c r="B25" s="115"/>
      <c r="C25" s="116">
        <v>7</v>
      </c>
      <c r="D25" s="116" t="s">
        <v>32</v>
      </c>
      <c r="E25" s="117" t="s">
        <v>761</v>
      </c>
      <c r="F25" s="118" t="s">
        <v>762</v>
      </c>
      <c r="G25" s="119" t="s">
        <v>223</v>
      </c>
      <c r="H25" s="120">
        <v>130.83799999999999</v>
      </c>
      <c r="I25" s="121">
        <v>212.59</v>
      </c>
      <c r="J25" s="122">
        <f t="shared" si="0"/>
        <v>27814.85</v>
      </c>
      <c r="K25" s="70">
        <v>130.83799999999999</v>
      </c>
      <c r="L25" s="71">
        <f t="shared" si="1"/>
        <v>27814.850419999999</v>
      </c>
      <c r="M25" s="72"/>
      <c r="N25" s="73">
        <f t="shared" si="2"/>
        <v>0</v>
      </c>
      <c r="O25" s="70">
        <f t="shared" si="3"/>
        <v>130.83799999999999</v>
      </c>
      <c r="P25" s="74">
        <f t="shared" si="4"/>
        <v>27814.850419999999</v>
      </c>
      <c r="Q25" s="75">
        <f t="shared" si="5"/>
        <v>1.0000000150998478</v>
      </c>
      <c r="R25" s="76">
        <f t="shared" si="6"/>
        <v>0</v>
      </c>
      <c r="S25" s="77">
        <f t="shared" si="7"/>
        <v>0</v>
      </c>
      <c r="T25" s="78">
        <f t="shared" si="8"/>
        <v>0</v>
      </c>
    </row>
    <row r="26" spans="2:20" s="5" customFormat="1" ht="16.5" customHeight="1" x14ac:dyDescent="0.35">
      <c r="B26" s="115"/>
      <c r="C26" s="116">
        <v>8</v>
      </c>
      <c r="D26" s="116" t="s">
        <v>32</v>
      </c>
      <c r="E26" s="117" t="s">
        <v>763</v>
      </c>
      <c r="F26" s="118" t="s">
        <v>764</v>
      </c>
      <c r="G26" s="119" t="s">
        <v>214</v>
      </c>
      <c r="H26" s="120">
        <v>62.304000000000002</v>
      </c>
      <c r="I26" s="121">
        <v>1.34</v>
      </c>
      <c r="J26" s="122">
        <f t="shared" si="0"/>
        <v>83.49</v>
      </c>
      <c r="K26" s="70">
        <v>62.304000000000002</v>
      </c>
      <c r="L26" s="71">
        <f t="shared" si="1"/>
        <v>83.48736000000001</v>
      </c>
      <c r="M26" s="72"/>
      <c r="N26" s="73">
        <f t="shared" si="2"/>
        <v>0</v>
      </c>
      <c r="O26" s="70">
        <f t="shared" si="3"/>
        <v>62.304000000000002</v>
      </c>
      <c r="P26" s="74">
        <f t="shared" si="4"/>
        <v>83.48736000000001</v>
      </c>
      <c r="Q26" s="75">
        <f t="shared" si="5"/>
        <v>0.99996837944664052</v>
      </c>
      <c r="R26" s="76">
        <f t="shared" si="6"/>
        <v>0</v>
      </c>
      <c r="S26" s="77">
        <f t="shared" si="7"/>
        <v>0</v>
      </c>
      <c r="T26" s="78">
        <f t="shared" si="8"/>
        <v>0</v>
      </c>
    </row>
    <row r="27" spans="2:20" s="5" customFormat="1" ht="24.15" customHeight="1" x14ac:dyDescent="0.35">
      <c r="B27" s="115"/>
      <c r="C27" s="116">
        <v>9</v>
      </c>
      <c r="D27" s="116" t="s">
        <v>32</v>
      </c>
      <c r="E27" s="117" t="s">
        <v>765</v>
      </c>
      <c r="F27" s="118" t="s">
        <v>766</v>
      </c>
      <c r="G27" s="119" t="s">
        <v>214</v>
      </c>
      <c r="H27" s="120">
        <v>19.850000000000001</v>
      </c>
      <c r="I27" s="121">
        <v>213.93</v>
      </c>
      <c r="J27" s="122">
        <f t="shared" si="0"/>
        <v>4246.51</v>
      </c>
      <c r="K27" s="70">
        <v>19.850000000000001</v>
      </c>
      <c r="L27" s="71">
        <f t="shared" si="1"/>
        <v>4246.5105000000003</v>
      </c>
      <c r="M27" s="72"/>
      <c r="N27" s="73">
        <f t="shared" si="2"/>
        <v>0</v>
      </c>
      <c r="O27" s="70">
        <f t="shared" si="3"/>
        <v>19.850000000000001</v>
      </c>
      <c r="P27" s="74">
        <f t="shared" si="4"/>
        <v>4246.5105000000003</v>
      </c>
      <c r="Q27" s="75">
        <f t="shared" si="5"/>
        <v>1.0000001177437472</v>
      </c>
      <c r="R27" s="76">
        <f t="shared" si="6"/>
        <v>0</v>
      </c>
      <c r="S27" s="77">
        <f t="shared" si="7"/>
        <v>0</v>
      </c>
      <c r="T27" s="78">
        <f t="shared" si="8"/>
        <v>0</v>
      </c>
    </row>
    <row r="28" spans="2:20" s="5" customFormat="1" ht="16.5" customHeight="1" x14ac:dyDescent="0.35">
      <c r="B28" s="115"/>
      <c r="C28" s="123">
        <v>10</v>
      </c>
      <c r="D28" s="123" t="s">
        <v>193</v>
      </c>
      <c r="E28" s="124" t="s">
        <v>767</v>
      </c>
      <c r="F28" s="125" t="s">
        <v>768</v>
      </c>
      <c r="G28" s="126" t="s">
        <v>223</v>
      </c>
      <c r="H28" s="127">
        <v>5.2880000000000003</v>
      </c>
      <c r="I28" s="128">
        <v>414.49</v>
      </c>
      <c r="J28" s="129">
        <f t="shared" si="0"/>
        <v>2191.8200000000002</v>
      </c>
      <c r="K28" s="70">
        <v>5.2880000000000003</v>
      </c>
      <c r="L28" s="71">
        <f t="shared" si="1"/>
        <v>2191.82312</v>
      </c>
      <c r="M28" s="72"/>
      <c r="N28" s="73">
        <f t="shared" si="2"/>
        <v>0</v>
      </c>
      <c r="O28" s="70">
        <f t="shared" si="3"/>
        <v>5.2880000000000003</v>
      </c>
      <c r="P28" s="74">
        <f t="shared" si="4"/>
        <v>2191.82312</v>
      </c>
      <c r="Q28" s="75">
        <f t="shared" si="5"/>
        <v>1.0000014234745553</v>
      </c>
      <c r="R28" s="76">
        <f t="shared" si="6"/>
        <v>0</v>
      </c>
      <c r="S28" s="77">
        <f t="shared" si="7"/>
        <v>0</v>
      </c>
      <c r="T28" s="78">
        <f t="shared" si="8"/>
        <v>0</v>
      </c>
    </row>
    <row r="29" spans="2:20" s="5" customFormat="1" ht="24.15" customHeight="1" x14ac:dyDescent="0.35">
      <c r="B29" s="115"/>
      <c r="C29" s="116">
        <v>11</v>
      </c>
      <c r="D29" s="116" t="s">
        <v>32</v>
      </c>
      <c r="E29" s="117" t="s">
        <v>769</v>
      </c>
      <c r="F29" s="118" t="s">
        <v>770</v>
      </c>
      <c r="G29" s="119" t="s">
        <v>214</v>
      </c>
      <c r="H29" s="120">
        <v>8.25</v>
      </c>
      <c r="I29" s="121">
        <v>347.64</v>
      </c>
      <c r="J29" s="122">
        <f t="shared" si="0"/>
        <v>2868.03</v>
      </c>
      <c r="K29" s="70">
        <v>8.25</v>
      </c>
      <c r="L29" s="71">
        <f t="shared" si="1"/>
        <v>2868.0299999999997</v>
      </c>
      <c r="M29" s="72"/>
      <c r="N29" s="73">
        <f t="shared" si="2"/>
        <v>0</v>
      </c>
      <c r="O29" s="70">
        <f t="shared" si="3"/>
        <v>8.25</v>
      </c>
      <c r="P29" s="74">
        <f t="shared" si="4"/>
        <v>2868.0299999999997</v>
      </c>
      <c r="Q29" s="75">
        <f t="shared" si="5"/>
        <v>0.99999999999999989</v>
      </c>
      <c r="R29" s="76">
        <f t="shared" si="6"/>
        <v>0</v>
      </c>
      <c r="S29" s="77">
        <f t="shared" si="7"/>
        <v>0</v>
      </c>
      <c r="T29" s="78">
        <f t="shared" si="8"/>
        <v>0</v>
      </c>
    </row>
    <row r="30" spans="2:20" s="5" customFormat="1" ht="16.5" customHeight="1" x14ac:dyDescent="0.35">
      <c r="B30" s="115"/>
      <c r="C30" s="123">
        <v>12</v>
      </c>
      <c r="D30" s="123" t="s">
        <v>193</v>
      </c>
      <c r="E30" s="124" t="s">
        <v>771</v>
      </c>
      <c r="F30" s="125" t="s">
        <v>772</v>
      </c>
      <c r="G30" s="126" t="s">
        <v>223</v>
      </c>
      <c r="H30" s="127">
        <v>16.5</v>
      </c>
      <c r="I30" s="128">
        <v>401.12</v>
      </c>
      <c r="J30" s="129">
        <f t="shared" si="0"/>
        <v>6618.48</v>
      </c>
      <c r="K30" s="70">
        <v>16.5</v>
      </c>
      <c r="L30" s="71">
        <f t="shared" si="1"/>
        <v>6618.4800000000005</v>
      </c>
      <c r="M30" s="72"/>
      <c r="N30" s="73">
        <f t="shared" si="2"/>
        <v>0</v>
      </c>
      <c r="O30" s="70">
        <f t="shared" si="3"/>
        <v>16.5</v>
      </c>
      <c r="P30" s="74">
        <f t="shared" si="4"/>
        <v>6618.4800000000005</v>
      </c>
      <c r="Q30" s="75">
        <f t="shared" si="5"/>
        <v>1.0000000000000002</v>
      </c>
      <c r="R30" s="76">
        <f t="shared" si="6"/>
        <v>0</v>
      </c>
      <c r="S30" s="77">
        <f t="shared" si="7"/>
        <v>0</v>
      </c>
      <c r="T30" s="78">
        <f t="shared" si="8"/>
        <v>0</v>
      </c>
    </row>
    <row r="31" spans="2:20" s="69" customFormat="1" ht="22.75" customHeight="1" x14ac:dyDescent="0.25">
      <c r="B31" s="65"/>
      <c r="D31" s="108" t="s">
        <v>27</v>
      </c>
      <c r="E31" s="112" t="s">
        <v>38</v>
      </c>
      <c r="F31" s="112" t="s">
        <v>1010</v>
      </c>
      <c r="I31" s="110"/>
      <c r="J31" s="113">
        <f>SUM(J32:J33)</f>
        <v>97791.84</v>
      </c>
      <c r="L31" s="113">
        <f>SUM(L32:L33)</f>
        <v>97791.840000000011</v>
      </c>
      <c r="N31" s="113">
        <f>SUM(N32:N33)</f>
        <v>0</v>
      </c>
      <c r="P31" s="113">
        <f>SUM(P32:P33)</f>
        <v>97791.840000000011</v>
      </c>
      <c r="S31" s="113">
        <f>SUM(S32:S33)</f>
        <v>0</v>
      </c>
    </row>
    <row r="32" spans="2:20" s="5" customFormat="1" ht="33" customHeight="1" x14ac:dyDescent="0.35">
      <c r="B32" s="115"/>
      <c r="C32" s="116">
        <v>13</v>
      </c>
      <c r="D32" s="116" t="s">
        <v>32</v>
      </c>
      <c r="E32" s="130" t="s">
        <v>1087</v>
      </c>
      <c r="F32" s="131" t="s">
        <v>1088</v>
      </c>
      <c r="G32" s="119" t="s">
        <v>214</v>
      </c>
      <c r="H32" s="120">
        <v>16.556000000000001</v>
      </c>
      <c r="I32" s="121">
        <v>4140</v>
      </c>
      <c r="J32" s="122">
        <f>ROUND(I32*H32,2)</f>
        <v>68541.84</v>
      </c>
      <c r="K32" s="70">
        <v>16.556000000000001</v>
      </c>
      <c r="L32" s="71">
        <f>K32*I32</f>
        <v>68541.840000000011</v>
      </c>
      <c r="M32" s="72"/>
      <c r="N32" s="73">
        <f>M32*I32</f>
        <v>0</v>
      </c>
      <c r="O32" s="70">
        <f>M32+K32</f>
        <v>16.556000000000001</v>
      </c>
      <c r="P32" s="74">
        <f>O32*I32</f>
        <v>68541.840000000011</v>
      </c>
      <c r="Q32" s="75">
        <f>P32/J32</f>
        <v>1.0000000000000002</v>
      </c>
      <c r="R32" s="76">
        <f>H32-O32</f>
        <v>0</v>
      </c>
      <c r="S32" s="77">
        <f>R32*I32</f>
        <v>0</v>
      </c>
      <c r="T32" s="78">
        <f>R32/H32</f>
        <v>0</v>
      </c>
    </row>
    <row r="33" spans="2:20" s="5" customFormat="1" ht="24.15" customHeight="1" x14ac:dyDescent="0.35">
      <c r="B33" s="115"/>
      <c r="C33" s="116">
        <v>14</v>
      </c>
      <c r="D33" s="116" t="s">
        <v>32</v>
      </c>
      <c r="E33" s="117" t="s">
        <v>1089</v>
      </c>
      <c r="F33" s="118" t="s">
        <v>1090</v>
      </c>
      <c r="G33" s="119" t="s">
        <v>223</v>
      </c>
      <c r="H33" s="120">
        <v>0.65</v>
      </c>
      <c r="I33" s="121">
        <v>45000</v>
      </c>
      <c r="J33" s="122">
        <f>ROUND(I33*H33,2)</f>
        <v>29250</v>
      </c>
      <c r="K33" s="70">
        <v>0.65</v>
      </c>
      <c r="L33" s="71">
        <f>K33*I33</f>
        <v>29250</v>
      </c>
      <c r="M33" s="72"/>
      <c r="N33" s="73">
        <f>M33*I33</f>
        <v>0</v>
      </c>
      <c r="O33" s="70">
        <f>M33+K33</f>
        <v>0.65</v>
      </c>
      <c r="P33" s="74">
        <f>O33*I33</f>
        <v>29250</v>
      </c>
      <c r="Q33" s="75">
        <f>P33/J33</f>
        <v>1</v>
      </c>
      <c r="R33" s="76">
        <f>H33-O33</f>
        <v>0</v>
      </c>
      <c r="S33" s="77">
        <f>R33*I33</f>
        <v>0</v>
      </c>
      <c r="T33" s="78">
        <f>R33/H33</f>
        <v>0</v>
      </c>
    </row>
    <row r="34" spans="2:20" s="69" customFormat="1" ht="22.75" customHeight="1" x14ac:dyDescent="0.25">
      <c r="B34" s="65"/>
      <c r="D34" s="108" t="s">
        <v>27</v>
      </c>
      <c r="E34" s="112" t="s">
        <v>41</v>
      </c>
      <c r="F34" s="112" t="s">
        <v>720</v>
      </c>
      <c r="I34" s="110"/>
      <c r="J34" s="113">
        <f>SUM(J35:J37)</f>
        <v>29533.16</v>
      </c>
      <c r="L34" s="113">
        <f>SUM(L35:L37)</f>
        <v>29533.151000000002</v>
      </c>
      <c r="N34" s="113">
        <f>SUM(N35:N37)</f>
        <v>0</v>
      </c>
      <c r="P34" s="113">
        <f>SUM(P35:P37)</f>
        <v>29533.151000000002</v>
      </c>
      <c r="S34" s="113">
        <f>SUM(S35:S37)</f>
        <v>0</v>
      </c>
    </row>
    <row r="35" spans="2:20" s="5" customFormat="1" ht="16.5" customHeight="1" x14ac:dyDescent="0.35">
      <c r="B35" s="115"/>
      <c r="C35" s="116">
        <v>15</v>
      </c>
      <c r="D35" s="116" t="s">
        <v>32</v>
      </c>
      <c r="E35" s="117" t="s">
        <v>796</v>
      </c>
      <c r="F35" s="118" t="s">
        <v>797</v>
      </c>
      <c r="G35" s="119" t="s">
        <v>214</v>
      </c>
      <c r="H35" s="120">
        <v>2.75</v>
      </c>
      <c r="I35" s="121">
        <v>1136.5</v>
      </c>
      <c r="J35" s="122">
        <f>ROUND(I35*H35,2)</f>
        <v>3125.38</v>
      </c>
      <c r="K35" s="70">
        <v>2.75</v>
      </c>
      <c r="L35" s="71">
        <f>K35*I35</f>
        <v>3125.375</v>
      </c>
      <c r="M35" s="72"/>
      <c r="N35" s="73">
        <f>M35*I35</f>
        <v>0</v>
      </c>
      <c r="O35" s="70">
        <f>M35+K35</f>
        <v>2.75</v>
      </c>
      <c r="P35" s="74">
        <f>O35*I35</f>
        <v>3125.375</v>
      </c>
      <c r="Q35" s="75">
        <f>P35/J35</f>
        <v>0.99999840019453634</v>
      </c>
      <c r="R35" s="76">
        <f>H35-O35</f>
        <v>0</v>
      </c>
      <c r="S35" s="77">
        <f>R35*I35</f>
        <v>0</v>
      </c>
      <c r="T35" s="78">
        <f>R35/H35</f>
        <v>0</v>
      </c>
    </row>
    <row r="36" spans="2:20" s="5" customFormat="1" ht="33" customHeight="1" x14ac:dyDescent="0.35">
      <c r="B36" s="115"/>
      <c r="C36" s="116">
        <v>16</v>
      </c>
      <c r="D36" s="116" t="s">
        <v>32</v>
      </c>
      <c r="E36" s="117" t="s">
        <v>1091</v>
      </c>
      <c r="F36" s="118" t="s">
        <v>1092</v>
      </c>
      <c r="G36" s="119" t="s">
        <v>214</v>
      </c>
      <c r="H36" s="120">
        <v>7.8239999999999998</v>
      </c>
      <c r="I36" s="121">
        <v>3250</v>
      </c>
      <c r="J36" s="122">
        <f>ROUND(I36*H36,2)</f>
        <v>25428</v>
      </c>
      <c r="K36" s="70">
        <v>7.8239999999999998</v>
      </c>
      <c r="L36" s="71">
        <f>K36*I36</f>
        <v>25428</v>
      </c>
      <c r="M36" s="72"/>
      <c r="N36" s="73">
        <f>M36*I36</f>
        <v>0</v>
      </c>
      <c r="O36" s="70">
        <f>M36+K36</f>
        <v>7.8239999999999998</v>
      </c>
      <c r="P36" s="74">
        <f>O36*I36</f>
        <v>25428</v>
      </c>
      <c r="Q36" s="75">
        <f>P36/J36</f>
        <v>1</v>
      </c>
      <c r="R36" s="76">
        <f>H36-O36</f>
        <v>0</v>
      </c>
      <c r="S36" s="77">
        <f>R36*I36</f>
        <v>0</v>
      </c>
      <c r="T36" s="78">
        <f>R36/H36</f>
        <v>0</v>
      </c>
    </row>
    <row r="37" spans="2:20" s="5" customFormat="1" ht="33" customHeight="1" x14ac:dyDescent="0.35">
      <c r="B37" s="115"/>
      <c r="C37" s="116">
        <v>17</v>
      </c>
      <c r="D37" s="116" t="s">
        <v>32</v>
      </c>
      <c r="E37" s="130" t="s">
        <v>769</v>
      </c>
      <c r="F37" s="131" t="s">
        <v>770</v>
      </c>
      <c r="G37" s="119" t="s">
        <v>214</v>
      </c>
      <c r="H37" s="120">
        <v>2.016</v>
      </c>
      <c r="I37" s="121">
        <v>486</v>
      </c>
      <c r="J37" s="122">
        <f>ROUND(I37*H37,2)</f>
        <v>979.78</v>
      </c>
      <c r="K37" s="70">
        <v>2.016</v>
      </c>
      <c r="L37" s="71">
        <f>K37*I37</f>
        <v>979.77599999999995</v>
      </c>
      <c r="M37" s="72"/>
      <c r="N37" s="73">
        <f>M37*I37</f>
        <v>0</v>
      </c>
      <c r="O37" s="70">
        <f>M37+K37</f>
        <v>2.016</v>
      </c>
      <c r="P37" s="74">
        <f>O37*I37</f>
        <v>979.77599999999995</v>
      </c>
      <c r="Q37" s="75">
        <f>P37/J37</f>
        <v>0.99999591745085625</v>
      </c>
      <c r="R37" s="76">
        <f>H37-O37</f>
        <v>0</v>
      </c>
      <c r="S37" s="77">
        <f>R37*I37</f>
        <v>0</v>
      </c>
      <c r="T37" s="78">
        <f>R37/H37</f>
        <v>0</v>
      </c>
    </row>
    <row r="38" spans="2:20" s="69" customFormat="1" ht="22.75" customHeight="1" x14ac:dyDescent="0.25">
      <c r="B38" s="65"/>
      <c r="D38" s="108" t="s">
        <v>27</v>
      </c>
      <c r="E38" s="112" t="s">
        <v>52</v>
      </c>
      <c r="F38" s="112" t="s">
        <v>1093</v>
      </c>
      <c r="I38" s="110"/>
      <c r="J38" s="113">
        <f>SUM(J39:J43)</f>
        <v>36686.9</v>
      </c>
      <c r="L38" s="113">
        <f>SUM(L39:L43)</f>
        <v>36686.903200000001</v>
      </c>
      <c r="N38" s="113">
        <f>SUM(N39:N43)</f>
        <v>0</v>
      </c>
      <c r="P38" s="113">
        <f>SUM(P39:P43)</f>
        <v>36686.903200000001</v>
      </c>
      <c r="S38" s="113">
        <f>SUM(S39:S43)</f>
        <v>0</v>
      </c>
    </row>
    <row r="39" spans="2:20" s="5" customFormat="1" ht="16.5" customHeight="1" x14ac:dyDescent="0.35">
      <c r="B39" s="115"/>
      <c r="C39" s="116">
        <v>18</v>
      </c>
      <c r="D39" s="116" t="s">
        <v>32</v>
      </c>
      <c r="E39" s="117" t="s">
        <v>1094</v>
      </c>
      <c r="F39" s="118" t="s">
        <v>1095</v>
      </c>
      <c r="G39" s="119" t="s">
        <v>35</v>
      </c>
      <c r="H39" s="120">
        <v>1</v>
      </c>
      <c r="I39" s="121">
        <v>24560</v>
      </c>
      <c r="J39" s="122">
        <f>ROUND(I39*H39,2)</f>
        <v>24560</v>
      </c>
      <c r="K39" s="70">
        <v>1</v>
      </c>
      <c r="L39" s="71">
        <f>K39*I39</f>
        <v>24560</v>
      </c>
      <c r="M39" s="72"/>
      <c r="N39" s="73">
        <f>M39*I39</f>
        <v>0</v>
      </c>
      <c r="O39" s="70">
        <f>M39+K39</f>
        <v>1</v>
      </c>
      <c r="P39" s="74">
        <f>O39*I39</f>
        <v>24560</v>
      </c>
      <c r="Q39" s="75">
        <f>P39/J39</f>
        <v>1</v>
      </c>
      <c r="R39" s="76">
        <f>H39-O39</f>
        <v>0</v>
      </c>
      <c r="S39" s="77">
        <f>R39*I39</f>
        <v>0</v>
      </c>
      <c r="T39" s="78">
        <f>R39/H39</f>
        <v>0</v>
      </c>
    </row>
    <row r="40" spans="2:20" s="5" customFormat="1" ht="24.15" customHeight="1" x14ac:dyDescent="0.35">
      <c r="B40" s="115"/>
      <c r="C40" s="116">
        <v>19</v>
      </c>
      <c r="D40" s="116" t="s">
        <v>32</v>
      </c>
      <c r="E40" s="117" t="s">
        <v>812</v>
      </c>
      <c r="F40" s="118" t="s">
        <v>813</v>
      </c>
      <c r="G40" s="119" t="s">
        <v>120</v>
      </c>
      <c r="H40" s="120">
        <v>12</v>
      </c>
      <c r="I40" s="121">
        <v>87.19</v>
      </c>
      <c r="J40" s="122">
        <f>ROUND(I40*H40,2)</f>
        <v>1046.28</v>
      </c>
      <c r="K40" s="70">
        <v>12</v>
      </c>
      <c r="L40" s="71">
        <f>K40*I40</f>
        <v>1046.28</v>
      </c>
      <c r="M40" s="72"/>
      <c r="N40" s="73">
        <f>M40*I40</f>
        <v>0</v>
      </c>
      <c r="O40" s="70">
        <f>M40+K40</f>
        <v>12</v>
      </c>
      <c r="P40" s="74">
        <f>O40*I40</f>
        <v>1046.28</v>
      </c>
      <c r="Q40" s="75">
        <f>P40/J40</f>
        <v>1</v>
      </c>
      <c r="R40" s="76">
        <f>H40-O40</f>
        <v>0</v>
      </c>
      <c r="S40" s="77">
        <f>R40*I40</f>
        <v>0</v>
      </c>
      <c r="T40" s="78">
        <f>R40/H40</f>
        <v>0</v>
      </c>
    </row>
    <row r="41" spans="2:20" s="5" customFormat="1" ht="24.15" customHeight="1" x14ac:dyDescent="0.35">
      <c r="B41" s="115"/>
      <c r="C41" s="123">
        <v>20</v>
      </c>
      <c r="D41" s="123" t="s">
        <v>193</v>
      </c>
      <c r="E41" s="124" t="s">
        <v>814</v>
      </c>
      <c r="F41" s="125" t="s">
        <v>815</v>
      </c>
      <c r="G41" s="126" t="s">
        <v>120</v>
      </c>
      <c r="H41" s="127">
        <v>12.18</v>
      </c>
      <c r="I41" s="128">
        <v>855.24</v>
      </c>
      <c r="J41" s="129">
        <f>ROUND(I41*H41,2)</f>
        <v>10416.82</v>
      </c>
      <c r="K41" s="70">
        <v>12.18</v>
      </c>
      <c r="L41" s="71">
        <f>K41*I41</f>
        <v>10416.823200000001</v>
      </c>
      <c r="M41" s="72"/>
      <c r="N41" s="73">
        <f>M41*I41</f>
        <v>0</v>
      </c>
      <c r="O41" s="70">
        <f>M41+K41</f>
        <v>12.18</v>
      </c>
      <c r="P41" s="74">
        <f>O41*I41</f>
        <v>10416.823200000001</v>
      </c>
      <c r="Q41" s="75">
        <f>P41/J41</f>
        <v>1.0000003071954782</v>
      </c>
      <c r="R41" s="76">
        <f>H41-O41</f>
        <v>0</v>
      </c>
      <c r="S41" s="77">
        <f>R41*I41</f>
        <v>0</v>
      </c>
      <c r="T41" s="78">
        <f>R41/H41</f>
        <v>0</v>
      </c>
    </row>
    <row r="42" spans="2:20" s="5" customFormat="1" ht="24.15" customHeight="1" x14ac:dyDescent="0.35">
      <c r="B42" s="115"/>
      <c r="C42" s="116">
        <v>21</v>
      </c>
      <c r="D42" s="116" t="s">
        <v>32</v>
      </c>
      <c r="E42" s="130" t="s">
        <v>1096</v>
      </c>
      <c r="F42" s="131" t="s">
        <v>1097</v>
      </c>
      <c r="G42" s="119" t="s">
        <v>272</v>
      </c>
      <c r="H42" s="120">
        <v>2</v>
      </c>
      <c r="I42" s="121">
        <v>216</v>
      </c>
      <c r="J42" s="122">
        <f>ROUND(I42*H42,2)</f>
        <v>432</v>
      </c>
      <c r="K42" s="70">
        <v>2</v>
      </c>
      <c r="L42" s="71">
        <f>K42*I42</f>
        <v>432</v>
      </c>
      <c r="M42" s="72"/>
      <c r="N42" s="73">
        <f>M42*I42</f>
        <v>0</v>
      </c>
      <c r="O42" s="70">
        <f>M42+K42</f>
        <v>2</v>
      </c>
      <c r="P42" s="74">
        <f>O42*I42</f>
        <v>432</v>
      </c>
      <c r="Q42" s="75">
        <f>P42/J42</f>
        <v>1</v>
      </c>
      <c r="R42" s="76">
        <f>H42-O42</f>
        <v>0</v>
      </c>
      <c r="S42" s="77">
        <f>R42*I42</f>
        <v>0</v>
      </c>
      <c r="T42" s="78">
        <f>R42/H42</f>
        <v>0</v>
      </c>
    </row>
    <row r="43" spans="2:20" s="5" customFormat="1" ht="24" x14ac:dyDescent="0.35">
      <c r="B43" s="115"/>
      <c r="C43" s="123">
        <v>22</v>
      </c>
      <c r="D43" s="123" t="s">
        <v>193</v>
      </c>
      <c r="E43" s="132" t="s">
        <v>1098</v>
      </c>
      <c r="F43" s="133" t="s">
        <v>1099</v>
      </c>
      <c r="G43" s="126" t="s">
        <v>272</v>
      </c>
      <c r="H43" s="127">
        <v>2</v>
      </c>
      <c r="I43" s="128">
        <v>115.9</v>
      </c>
      <c r="J43" s="129">
        <f>ROUND(I43*H43,2)</f>
        <v>231.8</v>
      </c>
      <c r="K43" s="70">
        <v>2</v>
      </c>
      <c r="L43" s="71">
        <f>K43*I43</f>
        <v>231.8</v>
      </c>
      <c r="M43" s="72"/>
      <c r="N43" s="73">
        <f>M43*I43</f>
        <v>0</v>
      </c>
      <c r="O43" s="70">
        <f>M43+K43</f>
        <v>2</v>
      </c>
      <c r="P43" s="74">
        <f>O43*I43</f>
        <v>231.8</v>
      </c>
      <c r="Q43" s="75">
        <f>P43/J43</f>
        <v>1</v>
      </c>
      <c r="R43" s="76">
        <f>H43-O43</f>
        <v>0</v>
      </c>
      <c r="S43" s="77">
        <f>R43*I43</f>
        <v>0</v>
      </c>
      <c r="T43" s="78">
        <f>R43/H43</f>
        <v>0</v>
      </c>
    </row>
    <row r="44" spans="2:20" s="69" customFormat="1" ht="22.75" customHeight="1" x14ac:dyDescent="0.25">
      <c r="B44" s="65"/>
      <c r="D44" s="108" t="s">
        <v>27</v>
      </c>
      <c r="E44" s="112" t="s">
        <v>55</v>
      </c>
      <c r="F44" s="112" t="s">
        <v>246</v>
      </c>
      <c r="I44" s="110"/>
      <c r="J44" s="113">
        <f>SUM(J45:J60)</f>
        <v>242190</v>
      </c>
      <c r="L44" s="113">
        <f>SUM(L45:L60)</f>
        <v>242190</v>
      </c>
      <c r="N44" s="113">
        <f>SUM(N45:N60)</f>
        <v>0</v>
      </c>
      <c r="P44" s="113">
        <f>SUM(P45:P60)</f>
        <v>242190</v>
      </c>
      <c r="S44" s="113">
        <f>SUM(S45:S60)</f>
        <v>0</v>
      </c>
    </row>
    <row r="45" spans="2:20" s="5" customFormat="1" ht="16.5" customHeight="1" x14ac:dyDescent="0.35">
      <c r="B45" s="115"/>
      <c r="C45" s="116">
        <v>23</v>
      </c>
      <c r="D45" s="116" t="s">
        <v>32</v>
      </c>
      <c r="E45" s="117" t="s">
        <v>1100</v>
      </c>
      <c r="F45" s="131" t="s">
        <v>1101</v>
      </c>
      <c r="G45" s="119" t="s">
        <v>272</v>
      </c>
      <c r="H45" s="120">
        <v>1</v>
      </c>
      <c r="I45" s="121">
        <v>29000</v>
      </c>
      <c r="J45" s="122">
        <f t="shared" ref="J45:J53" si="9">ROUND(I45*H45,2)</f>
        <v>29000</v>
      </c>
      <c r="K45" s="70">
        <v>1</v>
      </c>
      <c r="L45" s="71">
        <f t="shared" ref="L45:L60" si="10">K45*I45</f>
        <v>29000</v>
      </c>
      <c r="M45" s="72"/>
      <c r="N45" s="73">
        <f t="shared" ref="N45:N60" si="11">M45*I45</f>
        <v>0</v>
      </c>
      <c r="O45" s="70">
        <f t="shared" ref="O45:O60" si="12">M45+K45</f>
        <v>1</v>
      </c>
      <c r="P45" s="74">
        <f t="shared" ref="P45:P60" si="13">O45*I45</f>
        <v>29000</v>
      </c>
      <c r="Q45" s="75">
        <f t="shared" ref="Q45:Q60" si="14">P45/J45</f>
        <v>1</v>
      </c>
      <c r="R45" s="76">
        <f t="shared" ref="R45:R60" si="15">H45-O45</f>
        <v>0</v>
      </c>
      <c r="S45" s="77">
        <f t="shared" ref="S45:S60" si="16">R45*I45</f>
        <v>0</v>
      </c>
      <c r="T45" s="78">
        <f t="shared" ref="T45:T60" si="17">R45/H45</f>
        <v>0</v>
      </c>
    </row>
    <row r="46" spans="2:20" s="5" customFormat="1" ht="24" customHeight="1" x14ac:dyDescent="0.35">
      <c r="B46" s="115"/>
      <c r="C46" s="116">
        <f>C45+1</f>
        <v>24</v>
      </c>
      <c r="D46" s="116" t="s">
        <v>32</v>
      </c>
      <c r="E46" s="117" t="s">
        <v>1100</v>
      </c>
      <c r="F46" s="131" t="s">
        <v>1102</v>
      </c>
      <c r="G46" s="119" t="s">
        <v>272</v>
      </c>
      <c r="H46" s="120">
        <v>1</v>
      </c>
      <c r="I46" s="121">
        <v>36000</v>
      </c>
      <c r="J46" s="122">
        <f t="shared" si="9"/>
        <v>36000</v>
      </c>
      <c r="K46" s="70">
        <v>1</v>
      </c>
      <c r="L46" s="71">
        <f t="shared" si="10"/>
        <v>36000</v>
      </c>
      <c r="M46" s="72"/>
      <c r="N46" s="73">
        <f t="shared" si="11"/>
        <v>0</v>
      </c>
      <c r="O46" s="70">
        <f t="shared" si="12"/>
        <v>1</v>
      </c>
      <c r="P46" s="74">
        <f t="shared" si="13"/>
        <v>36000</v>
      </c>
      <c r="Q46" s="75">
        <f t="shared" si="14"/>
        <v>1</v>
      </c>
      <c r="R46" s="76">
        <f t="shared" si="15"/>
        <v>0</v>
      </c>
      <c r="S46" s="77">
        <f t="shared" si="16"/>
        <v>0</v>
      </c>
      <c r="T46" s="78">
        <f t="shared" si="17"/>
        <v>0</v>
      </c>
    </row>
    <row r="47" spans="2:20" s="5" customFormat="1" ht="16.5" customHeight="1" x14ac:dyDescent="0.35">
      <c r="B47" s="115"/>
      <c r="C47" s="116">
        <f t="shared" ref="C47:C60" si="18">C46+1</f>
        <v>25</v>
      </c>
      <c r="D47" s="116" t="s">
        <v>32</v>
      </c>
      <c r="E47" s="117" t="s">
        <v>1100</v>
      </c>
      <c r="F47" s="131" t="s">
        <v>1103</v>
      </c>
      <c r="G47" s="119" t="s">
        <v>272</v>
      </c>
      <c r="H47" s="120">
        <v>1</v>
      </c>
      <c r="I47" s="121">
        <v>11500</v>
      </c>
      <c r="J47" s="122">
        <f t="shared" si="9"/>
        <v>11500</v>
      </c>
      <c r="K47" s="70">
        <v>1</v>
      </c>
      <c r="L47" s="71">
        <f t="shared" si="10"/>
        <v>11500</v>
      </c>
      <c r="M47" s="72"/>
      <c r="N47" s="73">
        <f t="shared" si="11"/>
        <v>0</v>
      </c>
      <c r="O47" s="70">
        <f t="shared" si="12"/>
        <v>1</v>
      </c>
      <c r="P47" s="74">
        <f t="shared" si="13"/>
        <v>11500</v>
      </c>
      <c r="Q47" s="75">
        <f t="shared" si="14"/>
        <v>1</v>
      </c>
      <c r="R47" s="76">
        <f t="shared" si="15"/>
        <v>0</v>
      </c>
      <c r="S47" s="77">
        <f t="shared" si="16"/>
        <v>0</v>
      </c>
      <c r="T47" s="78">
        <f t="shared" si="17"/>
        <v>0</v>
      </c>
    </row>
    <row r="48" spans="2:20" s="5" customFormat="1" ht="16.5" customHeight="1" x14ac:dyDescent="0.35">
      <c r="B48" s="115"/>
      <c r="C48" s="116">
        <f t="shared" si="18"/>
        <v>26</v>
      </c>
      <c r="D48" s="116" t="s">
        <v>32</v>
      </c>
      <c r="E48" s="117" t="s">
        <v>1100</v>
      </c>
      <c r="F48" s="131" t="s">
        <v>1104</v>
      </c>
      <c r="G48" s="119" t="s">
        <v>272</v>
      </c>
      <c r="H48" s="120">
        <v>1</v>
      </c>
      <c r="I48" s="121">
        <v>15600</v>
      </c>
      <c r="J48" s="122">
        <v>15600</v>
      </c>
      <c r="K48" s="70">
        <v>1</v>
      </c>
      <c r="L48" s="71">
        <f t="shared" si="10"/>
        <v>15600</v>
      </c>
      <c r="M48" s="72"/>
      <c r="N48" s="73">
        <f t="shared" si="11"/>
        <v>0</v>
      </c>
      <c r="O48" s="70">
        <f t="shared" si="12"/>
        <v>1</v>
      </c>
      <c r="P48" s="74">
        <f t="shared" si="13"/>
        <v>15600</v>
      </c>
      <c r="Q48" s="75">
        <f t="shared" si="14"/>
        <v>1</v>
      </c>
      <c r="R48" s="76">
        <f t="shared" si="15"/>
        <v>0</v>
      </c>
      <c r="S48" s="77">
        <f t="shared" si="16"/>
        <v>0</v>
      </c>
      <c r="T48" s="78">
        <f t="shared" si="17"/>
        <v>0</v>
      </c>
    </row>
    <row r="49" spans="2:20" s="5" customFormat="1" ht="25" customHeight="1" x14ac:dyDescent="0.35">
      <c r="B49" s="115"/>
      <c r="C49" s="116">
        <f t="shared" si="18"/>
        <v>27</v>
      </c>
      <c r="D49" s="116" t="s">
        <v>32</v>
      </c>
      <c r="E49" s="117" t="s">
        <v>1100</v>
      </c>
      <c r="F49" s="131" t="s">
        <v>1105</v>
      </c>
      <c r="G49" s="119" t="s">
        <v>272</v>
      </c>
      <c r="H49" s="120">
        <v>1</v>
      </c>
      <c r="I49" s="121">
        <v>4950</v>
      </c>
      <c r="J49" s="122">
        <v>4950</v>
      </c>
      <c r="K49" s="70">
        <v>1</v>
      </c>
      <c r="L49" s="71">
        <f t="shared" si="10"/>
        <v>4950</v>
      </c>
      <c r="M49" s="72"/>
      <c r="N49" s="73">
        <f t="shared" si="11"/>
        <v>0</v>
      </c>
      <c r="O49" s="70">
        <f t="shared" si="12"/>
        <v>1</v>
      </c>
      <c r="P49" s="74">
        <f t="shared" si="13"/>
        <v>4950</v>
      </c>
      <c r="Q49" s="75">
        <f t="shared" si="14"/>
        <v>1</v>
      </c>
      <c r="R49" s="76">
        <f t="shared" si="15"/>
        <v>0</v>
      </c>
      <c r="S49" s="77">
        <f t="shared" si="16"/>
        <v>0</v>
      </c>
      <c r="T49" s="78">
        <f t="shared" si="17"/>
        <v>0</v>
      </c>
    </row>
    <row r="50" spans="2:20" s="5" customFormat="1" ht="27" customHeight="1" x14ac:dyDescent="0.35">
      <c r="B50" s="115"/>
      <c r="C50" s="116">
        <f t="shared" si="18"/>
        <v>28</v>
      </c>
      <c r="D50" s="116" t="s">
        <v>32</v>
      </c>
      <c r="E50" s="117" t="s">
        <v>1100</v>
      </c>
      <c r="F50" s="131" t="s">
        <v>1106</v>
      </c>
      <c r="G50" s="119" t="s">
        <v>272</v>
      </c>
      <c r="H50" s="120">
        <v>1</v>
      </c>
      <c r="I50" s="121">
        <v>8900</v>
      </c>
      <c r="J50" s="122">
        <v>8900</v>
      </c>
      <c r="K50" s="70">
        <v>1</v>
      </c>
      <c r="L50" s="71">
        <f t="shared" si="10"/>
        <v>8900</v>
      </c>
      <c r="M50" s="72"/>
      <c r="N50" s="73">
        <f t="shared" si="11"/>
        <v>0</v>
      </c>
      <c r="O50" s="70">
        <f t="shared" si="12"/>
        <v>1</v>
      </c>
      <c r="P50" s="74">
        <f t="shared" si="13"/>
        <v>8900</v>
      </c>
      <c r="Q50" s="75">
        <f t="shared" si="14"/>
        <v>1</v>
      </c>
      <c r="R50" s="76">
        <f t="shared" si="15"/>
        <v>0</v>
      </c>
      <c r="S50" s="77">
        <f t="shared" si="16"/>
        <v>0</v>
      </c>
      <c r="T50" s="78">
        <f t="shared" si="17"/>
        <v>0</v>
      </c>
    </row>
    <row r="51" spans="2:20" s="5" customFormat="1" ht="16.5" customHeight="1" x14ac:dyDescent="0.35">
      <c r="B51" s="115"/>
      <c r="C51" s="116">
        <f t="shared" si="18"/>
        <v>29</v>
      </c>
      <c r="D51" s="116" t="s">
        <v>32</v>
      </c>
      <c r="E51" s="117" t="s">
        <v>1100</v>
      </c>
      <c r="F51" s="131" t="s">
        <v>1107</v>
      </c>
      <c r="G51" s="119" t="s">
        <v>272</v>
      </c>
      <c r="H51" s="120">
        <v>1</v>
      </c>
      <c r="I51" s="121">
        <v>22000</v>
      </c>
      <c r="J51" s="122">
        <v>22000</v>
      </c>
      <c r="K51" s="70">
        <v>1</v>
      </c>
      <c r="L51" s="71">
        <f t="shared" si="10"/>
        <v>22000</v>
      </c>
      <c r="M51" s="72"/>
      <c r="N51" s="73">
        <f t="shared" si="11"/>
        <v>0</v>
      </c>
      <c r="O51" s="70">
        <f t="shared" si="12"/>
        <v>1</v>
      </c>
      <c r="P51" s="74">
        <f t="shared" si="13"/>
        <v>22000</v>
      </c>
      <c r="Q51" s="75">
        <f t="shared" si="14"/>
        <v>1</v>
      </c>
      <c r="R51" s="76">
        <f t="shared" si="15"/>
        <v>0</v>
      </c>
      <c r="S51" s="77">
        <f t="shared" si="16"/>
        <v>0</v>
      </c>
      <c r="T51" s="78">
        <f t="shared" si="17"/>
        <v>0</v>
      </c>
    </row>
    <row r="52" spans="2:20" s="5" customFormat="1" ht="16.5" customHeight="1" x14ac:dyDescent="0.35">
      <c r="B52" s="115"/>
      <c r="C52" s="116">
        <f t="shared" si="18"/>
        <v>30</v>
      </c>
      <c r="D52" s="116" t="s">
        <v>32</v>
      </c>
      <c r="E52" s="117" t="s">
        <v>1100</v>
      </c>
      <c r="F52" s="131" t="s">
        <v>1108</v>
      </c>
      <c r="G52" s="119" t="s">
        <v>272</v>
      </c>
      <c r="H52" s="120">
        <v>1</v>
      </c>
      <c r="I52" s="121">
        <v>20000</v>
      </c>
      <c r="J52" s="122">
        <f t="shared" si="9"/>
        <v>20000</v>
      </c>
      <c r="K52" s="70">
        <v>1</v>
      </c>
      <c r="L52" s="71">
        <f t="shared" si="10"/>
        <v>20000</v>
      </c>
      <c r="M52" s="72"/>
      <c r="N52" s="73">
        <f t="shared" si="11"/>
        <v>0</v>
      </c>
      <c r="O52" s="70">
        <f t="shared" si="12"/>
        <v>1</v>
      </c>
      <c r="P52" s="74">
        <f t="shared" si="13"/>
        <v>20000</v>
      </c>
      <c r="Q52" s="75">
        <f t="shared" si="14"/>
        <v>1</v>
      </c>
      <c r="R52" s="76">
        <f t="shared" si="15"/>
        <v>0</v>
      </c>
      <c r="S52" s="77">
        <f t="shared" si="16"/>
        <v>0</v>
      </c>
      <c r="T52" s="78">
        <f t="shared" si="17"/>
        <v>0</v>
      </c>
    </row>
    <row r="53" spans="2:20" s="5" customFormat="1" ht="16.5" customHeight="1" x14ac:dyDescent="0.35">
      <c r="B53" s="115"/>
      <c r="C53" s="116">
        <f>C52+1</f>
        <v>31</v>
      </c>
      <c r="D53" s="116" t="s">
        <v>32</v>
      </c>
      <c r="E53" s="117" t="s">
        <v>1100</v>
      </c>
      <c r="F53" s="131" t="s">
        <v>1109</v>
      </c>
      <c r="G53" s="119" t="s">
        <v>272</v>
      </c>
      <c r="H53" s="120">
        <v>1</v>
      </c>
      <c r="I53" s="121">
        <v>6000</v>
      </c>
      <c r="J53" s="122">
        <f t="shared" si="9"/>
        <v>6000</v>
      </c>
      <c r="K53" s="70">
        <v>1</v>
      </c>
      <c r="L53" s="71">
        <f t="shared" si="10"/>
        <v>6000</v>
      </c>
      <c r="M53" s="72"/>
      <c r="N53" s="73">
        <f t="shared" si="11"/>
        <v>0</v>
      </c>
      <c r="O53" s="70">
        <f t="shared" si="12"/>
        <v>1</v>
      </c>
      <c r="P53" s="74">
        <f t="shared" si="13"/>
        <v>6000</v>
      </c>
      <c r="Q53" s="75">
        <f t="shared" si="14"/>
        <v>1</v>
      </c>
      <c r="R53" s="76">
        <f t="shared" si="15"/>
        <v>0</v>
      </c>
      <c r="S53" s="77">
        <f t="shared" si="16"/>
        <v>0</v>
      </c>
      <c r="T53" s="78">
        <f t="shared" si="17"/>
        <v>0</v>
      </c>
    </row>
    <row r="54" spans="2:20" s="5" customFormat="1" ht="16.5" customHeight="1" x14ac:dyDescent="0.35">
      <c r="B54" s="115"/>
      <c r="C54" s="116">
        <f t="shared" si="18"/>
        <v>32</v>
      </c>
      <c r="D54" s="116" t="s">
        <v>32</v>
      </c>
      <c r="E54" s="117" t="s">
        <v>1100</v>
      </c>
      <c r="F54" s="131" t="s">
        <v>1110</v>
      </c>
      <c r="G54" s="119" t="s">
        <v>272</v>
      </c>
      <c r="H54" s="120">
        <v>1</v>
      </c>
      <c r="I54" s="121">
        <v>12560</v>
      </c>
      <c r="J54" s="122">
        <v>12560</v>
      </c>
      <c r="K54" s="70">
        <v>1</v>
      </c>
      <c r="L54" s="71">
        <f t="shared" si="10"/>
        <v>12560</v>
      </c>
      <c r="M54" s="72"/>
      <c r="N54" s="73">
        <f t="shared" si="11"/>
        <v>0</v>
      </c>
      <c r="O54" s="70">
        <f t="shared" si="12"/>
        <v>1</v>
      </c>
      <c r="P54" s="74">
        <f t="shared" si="13"/>
        <v>12560</v>
      </c>
      <c r="Q54" s="75">
        <f t="shared" si="14"/>
        <v>1</v>
      </c>
      <c r="R54" s="76">
        <f t="shared" si="15"/>
        <v>0</v>
      </c>
      <c r="S54" s="77">
        <f t="shared" si="16"/>
        <v>0</v>
      </c>
      <c r="T54" s="78">
        <f t="shared" si="17"/>
        <v>0</v>
      </c>
    </row>
    <row r="55" spans="2:20" s="5" customFormat="1" ht="16.5" customHeight="1" x14ac:dyDescent="0.35">
      <c r="B55" s="115"/>
      <c r="C55" s="116">
        <f t="shared" si="18"/>
        <v>33</v>
      </c>
      <c r="D55" s="116" t="s">
        <v>32</v>
      </c>
      <c r="E55" s="117" t="s">
        <v>1100</v>
      </c>
      <c r="F55" s="131" t="s">
        <v>1111</v>
      </c>
      <c r="G55" s="119" t="s">
        <v>272</v>
      </c>
      <c r="H55" s="120">
        <v>1</v>
      </c>
      <c r="I55" s="121">
        <v>34980</v>
      </c>
      <c r="J55" s="122">
        <v>34980</v>
      </c>
      <c r="K55" s="70">
        <v>1</v>
      </c>
      <c r="L55" s="71">
        <f t="shared" si="10"/>
        <v>34980</v>
      </c>
      <c r="M55" s="72"/>
      <c r="N55" s="73">
        <f t="shared" si="11"/>
        <v>0</v>
      </c>
      <c r="O55" s="70">
        <f t="shared" si="12"/>
        <v>1</v>
      </c>
      <c r="P55" s="74">
        <f t="shared" si="13"/>
        <v>34980</v>
      </c>
      <c r="Q55" s="75">
        <f t="shared" si="14"/>
        <v>1</v>
      </c>
      <c r="R55" s="76">
        <f t="shared" si="15"/>
        <v>0</v>
      </c>
      <c r="S55" s="77">
        <f t="shared" si="16"/>
        <v>0</v>
      </c>
      <c r="T55" s="78">
        <f t="shared" si="17"/>
        <v>0</v>
      </c>
    </row>
    <row r="56" spans="2:20" s="5" customFormat="1" ht="16.5" customHeight="1" x14ac:dyDescent="0.35">
      <c r="B56" s="115"/>
      <c r="C56" s="116">
        <f t="shared" si="18"/>
        <v>34</v>
      </c>
      <c r="D56" s="116" t="s">
        <v>32</v>
      </c>
      <c r="E56" s="117" t="s">
        <v>1100</v>
      </c>
      <c r="F56" s="131" t="s">
        <v>1112</v>
      </c>
      <c r="G56" s="119" t="s">
        <v>272</v>
      </c>
      <c r="H56" s="120">
        <v>1</v>
      </c>
      <c r="I56" s="121">
        <v>5900</v>
      </c>
      <c r="J56" s="122">
        <v>5900</v>
      </c>
      <c r="K56" s="70">
        <v>1</v>
      </c>
      <c r="L56" s="71">
        <f t="shared" si="10"/>
        <v>5900</v>
      </c>
      <c r="M56" s="72"/>
      <c r="N56" s="73">
        <f t="shared" si="11"/>
        <v>0</v>
      </c>
      <c r="O56" s="70">
        <f t="shared" si="12"/>
        <v>1</v>
      </c>
      <c r="P56" s="74">
        <f t="shared" si="13"/>
        <v>5900</v>
      </c>
      <c r="Q56" s="75">
        <f t="shared" si="14"/>
        <v>1</v>
      </c>
      <c r="R56" s="76">
        <f t="shared" si="15"/>
        <v>0</v>
      </c>
      <c r="S56" s="77">
        <f t="shared" si="16"/>
        <v>0</v>
      </c>
      <c r="T56" s="78">
        <f t="shared" si="17"/>
        <v>0</v>
      </c>
    </row>
    <row r="57" spans="2:20" s="5" customFormat="1" ht="16.5" customHeight="1" x14ac:dyDescent="0.35">
      <c r="B57" s="115"/>
      <c r="C57" s="116">
        <f t="shared" si="18"/>
        <v>35</v>
      </c>
      <c r="D57" s="116" t="s">
        <v>32</v>
      </c>
      <c r="E57" s="117" t="s">
        <v>1100</v>
      </c>
      <c r="F57" s="131" t="s">
        <v>1113</v>
      </c>
      <c r="G57" s="119" t="s">
        <v>272</v>
      </c>
      <c r="H57" s="120">
        <v>1</v>
      </c>
      <c r="I57" s="121">
        <v>9600</v>
      </c>
      <c r="J57" s="122">
        <v>9600</v>
      </c>
      <c r="K57" s="70">
        <v>1</v>
      </c>
      <c r="L57" s="71">
        <f t="shared" si="10"/>
        <v>9600</v>
      </c>
      <c r="M57" s="72"/>
      <c r="N57" s="73">
        <f t="shared" si="11"/>
        <v>0</v>
      </c>
      <c r="O57" s="70">
        <f t="shared" si="12"/>
        <v>1</v>
      </c>
      <c r="P57" s="74">
        <f t="shared" si="13"/>
        <v>9600</v>
      </c>
      <c r="Q57" s="75">
        <f t="shared" si="14"/>
        <v>1</v>
      </c>
      <c r="R57" s="76">
        <f t="shared" si="15"/>
        <v>0</v>
      </c>
      <c r="S57" s="77">
        <f t="shared" si="16"/>
        <v>0</v>
      </c>
      <c r="T57" s="78">
        <f t="shared" si="17"/>
        <v>0</v>
      </c>
    </row>
    <row r="58" spans="2:20" s="5" customFormat="1" ht="16.5" customHeight="1" x14ac:dyDescent="0.35">
      <c r="B58" s="115"/>
      <c r="C58" s="116">
        <f t="shared" si="18"/>
        <v>36</v>
      </c>
      <c r="D58" s="116" t="s">
        <v>32</v>
      </c>
      <c r="E58" s="117" t="s">
        <v>1100</v>
      </c>
      <c r="F58" s="131" t="s">
        <v>1114</v>
      </c>
      <c r="G58" s="119" t="s">
        <v>272</v>
      </c>
      <c r="H58" s="120">
        <v>1</v>
      </c>
      <c r="I58" s="121">
        <v>6500</v>
      </c>
      <c r="J58" s="122">
        <v>6500</v>
      </c>
      <c r="K58" s="70">
        <v>1</v>
      </c>
      <c r="L58" s="71">
        <f t="shared" si="10"/>
        <v>6500</v>
      </c>
      <c r="M58" s="72"/>
      <c r="N58" s="73">
        <f t="shared" si="11"/>
        <v>0</v>
      </c>
      <c r="O58" s="70">
        <f t="shared" si="12"/>
        <v>1</v>
      </c>
      <c r="P58" s="74">
        <f t="shared" si="13"/>
        <v>6500</v>
      </c>
      <c r="Q58" s="75">
        <f t="shared" si="14"/>
        <v>1</v>
      </c>
      <c r="R58" s="76">
        <f t="shared" si="15"/>
        <v>0</v>
      </c>
      <c r="S58" s="77">
        <f t="shared" si="16"/>
        <v>0</v>
      </c>
      <c r="T58" s="78">
        <f t="shared" si="17"/>
        <v>0</v>
      </c>
    </row>
    <row r="59" spans="2:20" s="5" customFormat="1" ht="16.5" customHeight="1" x14ac:dyDescent="0.35">
      <c r="B59" s="115"/>
      <c r="C59" s="116">
        <f t="shared" si="18"/>
        <v>37</v>
      </c>
      <c r="D59" s="116" t="s">
        <v>32</v>
      </c>
      <c r="E59" s="117" t="s">
        <v>1100</v>
      </c>
      <c r="F59" s="131" t="s">
        <v>1115</v>
      </c>
      <c r="G59" s="119" t="s">
        <v>272</v>
      </c>
      <c r="H59" s="120">
        <v>1</v>
      </c>
      <c r="I59" s="121">
        <v>6520</v>
      </c>
      <c r="J59" s="122">
        <v>6520</v>
      </c>
      <c r="K59" s="70">
        <v>1</v>
      </c>
      <c r="L59" s="71">
        <f t="shared" si="10"/>
        <v>6520</v>
      </c>
      <c r="M59" s="72"/>
      <c r="N59" s="73">
        <f t="shared" si="11"/>
        <v>0</v>
      </c>
      <c r="O59" s="70">
        <f t="shared" si="12"/>
        <v>1</v>
      </c>
      <c r="P59" s="74">
        <f t="shared" si="13"/>
        <v>6520</v>
      </c>
      <c r="Q59" s="75">
        <f t="shared" si="14"/>
        <v>1</v>
      </c>
      <c r="R59" s="76">
        <f t="shared" si="15"/>
        <v>0</v>
      </c>
      <c r="S59" s="77">
        <f t="shared" si="16"/>
        <v>0</v>
      </c>
      <c r="T59" s="78">
        <f t="shared" si="17"/>
        <v>0</v>
      </c>
    </row>
    <row r="60" spans="2:20" s="5" customFormat="1" ht="16.5" customHeight="1" x14ac:dyDescent="0.35">
      <c r="B60" s="115"/>
      <c r="C60" s="116">
        <f t="shared" si="18"/>
        <v>38</v>
      </c>
      <c r="D60" s="116" t="s">
        <v>32</v>
      </c>
      <c r="E60" s="117" t="s">
        <v>1116</v>
      </c>
      <c r="F60" s="118" t="s">
        <v>1117</v>
      </c>
      <c r="G60" s="119" t="s">
        <v>272</v>
      </c>
      <c r="H60" s="120">
        <v>1</v>
      </c>
      <c r="I60" s="121">
        <v>12180</v>
      </c>
      <c r="J60" s="122">
        <f>ROUND(I60*H60,2)</f>
        <v>12180</v>
      </c>
      <c r="K60" s="70">
        <v>1</v>
      </c>
      <c r="L60" s="71">
        <f t="shared" si="10"/>
        <v>12180</v>
      </c>
      <c r="M60" s="72"/>
      <c r="N60" s="73">
        <f t="shared" si="11"/>
        <v>0</v>
      </c>
      <c r="O60" s="70">
        <f t="shared" si="12"/>
        <v>1</v>
      </c>
      <c r="P60" s="74">
        <f t="shared" si="13"/>
        <v>12180</v>
      </c>
      <c r="Q60" s="75">
        <f t="shared" si="14"/>
        <v>1</v>
      </c>
      <c r="R60" s="76">
        <f t="shared" si="15"/>
        <v>0</v>
      </c>
      <c r="S60" s="77">
        <f t="shared" si="16"/>
        <v>0</v>
      </c>
      <c r="T60" s="78">
        <f t="shared" si="17"/>
        <v>0</v>
      </c>
    </row>
    <row r="61" spans="2:20" s="69" customFormat="1" ht="22.75" customHeight="1" x14ac:dyDescent="0.25">
      <c r="B61" s="65"/>
      <c r="D61" s="108" t="s">
        <v>27</v>
      </c>
      <c r="E61" s="112" t="s">
        <v>259</v>
      </c>
      <c r="F61" s="112" t="s">
        <v>260</v>
      </c>
      <c r="I61" s="110"/>
      <c r="J61" s="113">
        <f>SUM(J62)</f>
        <v>21459.42</v>
      </c>
      <c r="L61" s="113">
        <f>SUM(L62)</f>
        <v>21459.420000000002</v>
      </c>
      <c r="N61" s="113">
        <f>SUM(N62)</f>
        <v>0</v>
      </c>
      <c r="P61" s="113">
        <f>SUM(P62)</f>
        <v>21459.420000000002</v>
      </c>
      <c r="S61" s="113">
        <f>SUM(S62)</f>
        <v>0</v>
      </c>
    </row>
    <row r="62" spans="2:20" s="5" customFormat="1" ht="24.15" customHeight="1" x14ac:dyDescent="0.35">
      <c r="B62" s="115"/>
      <c r="C62" s="116">
        <v>39</v>
      </c>
      <c r="D62" s="116" t="s">
        <v>32</v>
      </c>
      <c r="E62" s="117" t="s">
        <v>261</v>
      </c>
      <c r="F62" s="118" t="s">
        <v>262</v>
      </c>
      <c r="G62" s="119" t="s">
        <v>223</v>
      </c>
      <c r="H62" s="120">
        <v>18</v>
      </c>
      <c r="I62" s="121">
        <v>1192.19</v>
      </c>
      <c r="J62" s="122">
        <f>ROUND(I62*H62,2)</f>
        <v>21459.42</v>
      </c>
      <c r="K62" s="70">
        <v>18</v>
      </c>
      <c r="L62" s="71">
        <f>K62*I62</f>
        <v>21459.420000000002</v>
      </c>
      <c r="M62" s="72"/>
      <c r="N62" s="73">
        <f>M62*I62</f>
        <v>0</v>
      </c>
      <c r="O62" s="70">
        <f>M62+K62</f>
        <v>18</v>
      </c>
      <c r="P62" s="74">
        <f>O62*I62</f>
        <v>21459.420000000002</v>
      </c>
      <c r="Q62" s="75">
        <f>P62/J62</f>
        <v>1.0000000000000002</v>
      </c>
      <c r="R62" s="76">
        <f>H62-O62</f>
        <v>0</v>
      </c>
      <c r="S62" s="77">
        <f>R62*I62</f>
        <v>0</v>
      </c>
      <c r="T62" s="78">
        <f>R62/H62</f>
        <v>0</v>
      </c>
    </row>
    <row r="63" spans="2:20" s="5" customFormat="1" ht="7" customHeight="1" x14ac:dyDescent="0.35">
      <c r="B63" s="11"/>
      <c r="C63" s="12"/>
      <c r="D63" s="12"/>
      <c r="E63" s="12"/>
      <c r="F63" s="12"/>
      <c r="G63" s="12"/>
      <c r="H63" s="12"/>
      <c r="I63" s="12"/>
      <c r="J63" s="12"/>
    </row>
    <row r="64" spans="2:20" x14ac:dyDescent="0.35">
      <c r="H64" s="134"/>
    </row>
  </sheetData>
  <mergeCells count="6">
    <mergeCell ref="R14:T14"/>
    <mergeCell ref="E6:H6"/>
    <mergeCell ref="E8:H8"/>
    <mergeCell ref="K14:L14"/>
    <mergeCell ref="M14:N14"/>
    <mergeCell ref="O14:Q14"/>
  </mergeCells>
  <pageMargins left="0.70866141732283472" right="0.70866141732283472" top="0.78740157480314965" bottom="0.78740157480314965" header="0.31496062992125984" footer="0.31496062992125984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21D8-98E0-48AE-896E-31BD7F2BC733}">
  <sheetPr>
    <pageSetUpPr fitToPage="1"/>
  </sheetPr>
  <dimension ref="B2:V101"/>
  <sheetViews>
    <sheetView view="pageBreakPreview" topLeftCell="B90" zoomScaleNormal="100" zoomScaleSheetLayoutView="100" workbookViewId="0">
      <selection activeCell="K106" sqref="K106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8.6328125" customWidth="1"/>
    <col min="10" max="10" width="10.6328125" customWidth="1"/>
    <col min="11" max="12" width="18.26953125" customWidth="1"/>
    <col min="14" max="14" width="12.7265625" customWidth="1"/>
    <col min="16" max="16" width="13.08984375" customWidth="1"/>
    <col min="18" max="18" width="12.81640625" customWidth="1"/>
    <col min="21" max="21" width="12.9062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263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995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 t="s">
        <v>1035</v>
      </c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 t="s">
        <v>8</v>
      </c>
      <c r="L15" s="8"/>
    </row>
    <row r="16" spans="2:22" s="5" customFormat="1" ht="23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38"/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K19</f>
        <v>1889589.6199999999</v>
      </c>
      <c r="L18" s="21">
        <f>L19</f>
        <v>2474841.3286399995</v>
      </c>
      <c r="M18" s="4"/>
      <c r="N18" s="62">
        <f>N19</f>
        <v>1834393.5202349997</v>
      </c>
      <c r="O18" s="63"/>
      <c r="P18" s="62">
        <f>P19</f>
        <v>0</v>
      </c>
      <c r="Q18" s="64"/>
      <c r="R18" s="62">
        <f>R19</f>
        <v>1834393.5202349997</v>
      </c>
      <c r="S18" s="64"/>
      <c r="T18" s="63"/>
      <c r="U18" s="62">
        <f>U19</f>
        <v>55196.109765000016</v>
      </c>
    </row>
    <row r="19" spans="2:22" s="23" customFormat="1" ht="26" customHeight="1" x14ac:dyDescent="0.35">
      <c r="B19" s="22"/>
      <c r="D19" s="24" t="s">
        <v>27</v>
      </c>
      <c r="E19" s="25" t="s">
        <v>202</v>
      </c>
      <c r="F19" s="25" t="s">
        <v>203</v>
      </c>
      <c r="J19" s="26"/>
      <c r="K19" s="27">
        <f>SUM(K20,K43,K48,K52,K55,K63,K77,K81)</f>
        <v>1889589.6199999999</v>
      </c>
      <c r="L19" s="27">
        <f>SUM(L20,L43,L48,L52,L55,L63,L77,L81,L84,L85,L88,L94)</f>
        <v>2474841.3286399995</v>
      </c>
      <c r="M19" s="65"/>
      <c r="N19" s="66">
        <f>SUM(N20,N43,N48,N52,N55,N63,N77,N81)</f>
        <v>1834393.5202349997</v>
      </c>
      <c r="O19" s="67"/>
      <c r="P19" s="66">
        <f>SUM(P20,P43,P48,P52,P55,P63,P77,P81)</f>
        <v>0</v>
      </c>
      <c r="Q19" s="68"/>
      <c r="R19" s="66">
        <f>SUM(R20,R43,R48,R52,R55,R63,R77,R81)</f>
        <v>1834393.5202349997</v>
      </c>
      <c r="S19" s="68"/>
      <c r="T19" s="67"/>
      <c r="U19" s="66">
        <f>SUM(U20,U43,U48,U52,U55,U63,U77,U81)</f>
        <v>55196.109765000016</v>
      </c>
      <c r="V19" s="69"/>
    </row>
    <row r="20" spans="2:22" s="23" customFormat="1" ht="23" customHeight="1" x14ac:dyDescent="0.25">
      <c r="B20" s="22"/>
      <c r="D20" s="24" t="s">
        <v>27</v>
      </c>
      <c r="E20" s="36" t="s">
        <v>31</v>
      </c>
      <c r="F20" s="36" t="s">
        <v>204</v>
      </c>
      <c r="J20" s="26"/>
      <c r="K20" s="37">
        <f>SUM(K21:K42)</f>
        <v>357411.21999999991</v>
      </c>
      <c r="L20" s="37">
        <f>SUM(L21:L42)</f>
        <v>502598.50474999991</v>
      </c>
      <c r="M20" s="65"/>
      <c r="N20" s="37">
        <f>SUM(N21:N42)</f>
        <v>352670.78314999997</v>
      </c>
      <c r="O20" s="67"/>
      <c r="P20" s="37">
        <f>SUM(P21:P42)</f>
        <v>0</v>
      </c>
      <c r="Q20" s="68"/>
      <c r="R20" s="37">
        <f>SUM(R21:R42)</f>
        <v>352670.78314999997</v>
      </c>
      <c r="S20" s="68"/>
      <c r="T20" s="67"/>
      <c r="U20" s="37">
        <f>SUM(U21:U42)</f>
        <v>4740.4416000000001</v>
      </c>
      <c r="V20" s="69"/>
    </row>
    <row r="21" spans="2:22" s="5" customFormat="1" ht="24.15" customHeight="1" x14ac:dyDescent="0.35">
      <c r="B21" s="4"/>
      <c r="C21" s="28" t="s">
        <v>31</v>
      </c>
      <c r="D21" s="28" t="s">
        <v>32</v>
      </c>
      <c r="E21" s="29" t="s">
        <v>915</v>
      </c>
      <c r="F21" s="30" t="s">
        <v>916</v>
      </c>
      <c r="G21" s="31" t="s">
        <v>207</v>
      </c>
      <c r="H21" s="32">
        <v>166</v>
      </c>
      <c r="I21" s="32">
        <v>166</v>
      </c>
      <c r="J21" s="33">
        <v>33.43</v>
      </c>
      <c r="K21" s="34">
        <f t="shared" ref="K21:K42" si="0">ROUND(J21*H21,2)</f>
        <v>5549.38</v>
      </c>
      <c r="L21" s="90">
        <f>I21*J21</f>
        <v>5549.38</v>
      </c>
      <c r="M21" s="70">
        <v>166</v>
      </c>
      <c r="N21" s="71">
        <f t="shared" ref="N21:N42" si="1">M21*J21</f>
        <v>5549.38</v>
      </c>
      <c r="O21" s="72"/>
      <c r="P21" s="73">
        <f t="shared" ref="P21:P42" si="2">O21*J21</f>
        <v>0</v>
      </c>
      <c r="Q21" s="70">
        <f t="shared" ref="Q21:Q42" si="3">O21+M21</f>
        <v>166</v>
      </c>
      <c r="R21" s="74">
        <f t="shared" ref="R21:R42" si="4">Q21*J21</f>
        <v>5549.38</v>
      </c>
      <c r="S21" s="75">
        <f t="shared" ref="S21:S42" si="5">R21/K21</f>
        <v>1</v>
      </c>
      <c r="T21" s="76">
        <f t="shared" ref="T21:T42" si="6">H21-Q21</f>
        <v>0</v>
      </c>
      <c r="U21" s="77">
        <f t="shared" ref="U21:U42" si="7">T21*J21</f>
        <v>0</v>
      </c>
      <c r="V21" s="78">
        <f t="shared" ref="V21:V42" si="8">T21/H21</f>
        <v>0</v>
      </c>
    </row>
    <row r="22" spans="2:22" s="5" customFormat="1" ht="24.15" customHeight="1" x14ac:dyDescent="0.35">
      <c r="B22" s="4"/>
      <c r="C22" s="28" t="s">
        <v>0</v>
      </c>
      <c r="D22" s="28" t="s">
        <v>32</v>
      </c>
      <c r="E22" s="29" t="s">
        <v>996</v>
      </c>
      <c r="F22" s="30" t="s">
        <v>997</v>
      </c>
      <c r="G22" s="31" t="s">
        <v>207</v>
      </c>
      <c r="H22" s="32">
        <v>166</v>
      </c>
      <c r="I22" s="32">
        <v>166</v>
      </c>
      <c r="J22" s="33">
        <v>33.43</v>
      </c>
      <c r="K22" s="34">
        <f t="shared" si="0"/>
        <v>5549.38</v>
      </c>
      <c r="L22" s="90">
        <f t="shared" ref="L22:L82" si="9">I22*J22</f>
        <v>5549.38</v>
      </c>
      <c r="M22" s="70">
        <v>166</v>
      </c>
      <c r="N22" s="71">
        <f t="shared" si="1"/>
        <v>5549.38</v>
      </c>
      <c r="O22" s="72"/>
      <c r="P22" s="73">
        <f t="shared" si="2"/>
        <v>0</v>
      </c>
      <c r="Q22" s="70">
        <f t="shared" si="3"/>
        <v>166</v>
      </c>
      <c r="R22" s="74">
        <f t="shared" si="4"/>
        <v>5549.38</v>
      </c>
      <c r="S22" s="75">
        <f t="shared" si="5"/>
        <v>1</v>
      </c>
      <c r="T22" s="76">
        <f t="shared" si="6"/>
        <v>0</v>
      </c>
      <c r="U22" s="77">
        <f t="shared" si="7"/>
        <v>0</v>
      </c>
      <c r="V22" s="78">
        <f t="shared" si="8"/>
        <v>0</v>
      </c>
    </row>
    <row r="23" spans="2:22" s="5" customFormat="1" ht="33" customHeight="1" x14ac:dyDescent="0.35">
      <c r="B23" s="4"/>
      <c r="C23" s="28" t="s">
        <v>38</v>
      </c>
      <c r="D23" s="28" t="s">
        <v>32</v>
      </c>
      <c r="E23" s="29" t="s">
        <v>921</v>
      </c>
      <c r="F23" s="30" t="s">
        <v>922</v>
      </c>
      <c r="G23" s="31" t="s">
        <v>207</v>
      </c>
      <c r="H23" s="32">
        <v>531</v>
      </c>
      <c r="I23" s="32">
        <v>531</v>
      </c>
      <c r="J23" s="33">
        <v>33.43</v>
      </c>
      <c r="K23" s="34">
        <f t="shared" si="0"/>
        <v>17751.330000000002</v>
      </c>
      <c r="L23" s="90">
        <f t="shared" si="9"/>
        <v>17751.329999999998</v>
      </c>
      <c r="M23" s="70">
        <v>531</v>
      </c>
      <c r="N23" s="71">
        <f t="shared" si="1"/>
        <v>17751.329999999998</v>
      </c>
      <c r="O23" s="72"/>
      <c r="P23" s="73">
        <f t="shared" si="2"/>
        <v>0</v>
      </c>
      <c r="Q23" s="70">
        <f t="shared" si="3"/>
        <v>531</v>
      </c>
      <c r="R23" s="74">
        <f t="shared" si="4"/>
        <v>17751.329999999998</v>
      </c>
      <c r="S23" s="75">
        <f t="shared" si="5"/>
        <v>0.99999999999999978</v>
      </c>
      <c r="T23" s="76">
        <f t="shared" si="6"/>
        <v>0</v>
      </c>
      <c r="U23" s="77">
        <f t="shared" si="7"/>
        <v>0</v>
      </c>
      <c r="V23" s="78">
        <f t="shared" si="8"/>
        <v>0</v>
      </c>
    </row>
    <row r="24" spans="2:22" s="5" customFormat="1" ht="16.5" customHeight="1" x14ac:dyDescent="0.35">
      <c r="B24" s="4"/>
      <c r="C24" s="28" t="s">
        <v>41</v>
      </c>
      <c r="D24" s="28" t="s">
        <v>32</v>
      </c>
      <c r="E24" s="29" t="s">
        <v>923</v>
      </c>
      <c r="F24" s="30" t="s">
        <v>924</v>
      </c>
      <c r="G24" s="31" t="s">
        <v>120</v>
      </c>
      <c r="H24" s="32">
        <v>98</v>
      </c>
      <c r="I24" s="32">
        <v>98</v>
      </c>
      <c r="J24" s="33">
        <v>66.849999999999994</v>
      </c>
      <c r="K24" s="34">
        <f t="shared" si="0"/>
        <v>6551.3</v>
      </c>
      <c r="L24" s="90">
        <f t="shared" si="9"/>
        <v>6551.2999999999993</v>
      </c>
      <c r="M24" s="70">
        <v>98</v>
      </c>
      <c r="N24" s="71">
        <f t="shared" si="1"/>
        <v>6551.2999999999993</v>
      </c>
      <c r="O24" s="72"/>
      <c r="P24" s="73">
        <f t="shared" si="2"/>
        <v>0</v>
      </c>
      <c r="Q24" s="70">
        <f t="shared" si="3"/>
        <v>98</v>
      </c>
      <c r="R24" s="74">
        <f t="shared" si="4"/>
        <v>6551.2999999999993</v>
      </c>
      <c r="S24" s="75">
        <f t="shared" si="5"/>
        <v>0.99999999999999989</v>
      </c>
      <c r="T24" s="76">
        <f t="shared" si="6"/>
        <v>0</v>
      </c>
      <c r="U24" s="77">
        <f t="shared" si="7"/>
        <v>0</v>
      </c>
      <c r="V24" s="78">
        <f t="shared" si="8"/>
        <v>0</v>
      </c>
    </row>
    <row r="25" spans="2:22" s="5" customFormat="1" ht="16.5" customHeight="1" x14ac:dyDescent="0.35">
      <c r="B25" s="4"/>
      <c r="C25" s="28" t="s">
        <v>30</v>
      </c>
      <c r="D25" s="28" t="s">
        <v>32</v>
      </c>
      <c r="E25" s="29" t="s">
        <v>925</v>
      </c>
      <c r="F25" s="30" t="s">
        <v>926</v>
      </c>
      <c r="G25" s="31" t="s">
        <v>207</v>
      </c>
      <c r="H25" s="32">
        <v>49.5</v>
      </c>
      <c r="I25" s="32">
        <v>49.5</v>
      </c>
      <c r="J25" s="33">
        <v>173.82</v>
      </c>
      <c r="K25" s="34">
        <f t="shared" si="0"/>
        <v>8604.09</v>
      </c>
      <c r="L25" s="90">
        <f t="shared" si="9"/>
        <v>8604.09</v>
      </c>
      <c r="M25" s="70">
        <v>49.5</v>
      </c>
      <c r="N25" s="71">
        <f t="shared" si="1"/>
        <v>8604.09</v>
      </c>
      <c r="O25" s="72"/>
      <c r="P25" s="73">
        <f t="shared" si="2"/>
        <v>0</v>
      </c>
      <c r="Q25" s="70">
        <f t="shared" si="3"/>
        <v>49.5</v>
      </c>
      <c r="R25" s="74">
        <f t="shared" si="4"/>
        <v>8604.09</v>
      </c>
      <c r="S25" s="75">
        <f t="shared" si="5"/>
        <v>1</v>
      </c>
      <c r="T25" s="76">
        <f t="shared" si="6"/>
        <v>0</v>
      </c>
      <c r="U25" s="77">
        <f t="shared" si="7"/>
        <v>0</v>
      </c>
      <c r="V25" s="78">
        <f t="shared" si="8"/>
        <v>0</v>
      </c>
    </row>
    <row r="26" spans="2:22" s="5" customFormat="1" ht="24.15" customHeight="1" x14ac:dyDescent="0.35">
      <c r="B26" s="4"/>
      <c r="C26" s="28" t="s">
        <v>46</v>
      </c>
      <c r="D26" s="28" t="s">
        <v>32</v>
      </c>
      <c r="E26" s="29" t="s">
        <v>741</v>
      </c>
      <c r="F26" s="30" t="s">
        <v>742</v>
      </c>
      <c r="G26" s="31" t="s">
        <v>207</v>
      </c>
      <c r="H26" s="32">
        <v>115.5</v>
      </c>
      <c r="I26" s="32">
        <v>115.5</v>
      </c>
      <c r="J26" s="33">
        <v>21.39</v>
      </c>
      <c r="K26" s="34">
        <f t="shared" si="0"/>
        <v>2470.5500000000002</v>
      </c>
      <c r="L26" s="90">
        <f t="shared" si="9"/>
        <v>2470.5450000000001</v>
      </c>
      <c r="M26" s="70">
        <v>115.5</v>
      </c>
      <c r="N26" s="71">
        <f t="shared" si="1"/>
        <v>2470.5450000000001</v>
      </c>
      <c r="O26" s="72"/>
      <c r="P26" s="73">
        <f t="shared" si="2"/>
        <v>0</v>
      </c>
      <c r="Q26" s="70">
        <f t="shared" si="3"/>
        <v>115.5</v>
      </c>
      <c r="R26" s="74">
        <f t="shared" si="4"/>
        <v>2470.5450000000001</v>
      </c>
      <c r="S26" s="75">
        <f t="shared" si="5"/>
        <v>0.99999797615915476</v>
      </c>
      <c r="T26" s="76">
        <f t="shared" si="6"/>
        <v>0</v>
      </c>
      <c r="U26" s="77">
        <f t="shared" si="7"/>
        <v>0</v>
      </c>
      <c r="V26" s="78">
        <f t="shared" si="8"/>
        <v>0</v>
      </c>
    </row>
    <row r="27" spans="2:22" s="5" customFormat="1" ht="24.15" customHeight="1" x14ac:dyDescent="0.35">
      <c r="B27" s="4"/>
      <c r="C27" s="28" t="s">
        <v>49</v>
      </c>
      <c r="D27" s="28" t="s">
        <v>32</v>
      </c>
      <c r="E27" s="29" t="s">
        <v>998</v>
      </c>
      <c r="F27" s="30" t="s">
        <v>999</v>
      </c>
      <c r="G27" s="31" t="s">
        <v>214</v>
      </c>
      <c r="H27" s="32">
        <v>57.69</v>
      </c>
      <c r="I27" s="32">
        <v>57.69</v>
      </c>
      <c r="J27" s="33">
        <v>1270.21</v>
      </c>
      <c r="K27" s="34">
        <f t="shared" si="0"/>
        <v>73278.41</v>
      </c>
      <c r="L27" s="90">
        <f t="shared" si="9"/>
        <v>73278.414900000003</v>
      </c>
      <c r="M27" s="70">
        <v>57.69</v>
      </c>
      <c r="N27" s="71">
        <f t="shared" si="1"/>
        <v>73278.414900000003</v>
      </c>
      <c r="O27" s="72"/>
      <c r="P27" s="73">
        <f t="shared" si="2"/>
        <v>0</v>
      </c>
      <c r="Q27" s="70">
        <f t="shared" si="3"/>
        <v>57.69</v>
      </c>
      <c r="R27" s="74">
        <f t="shared" si="4"/>
        <v>73278.414900000003</v>
      </c>
      <c r="S27" s="75">
        <f t="shared" si="5"/>
        <v>1.0000000668682631</v>
      </c>
      <c r="T27" s="76">
        <f t="shared" si="6"/>
        <v>0</v>
      </c>
      <c r="U27" s="77">
        <f t="shared" si="7"/>
        <v>0</v>
      </c>
      <c r="V27" s="78">
        <f t="shared" si="8"/>
        <v>0</v>
      </c>
    </row>
    <row r="28" spans="2:22" s="5" customFormat="1" ht="33" customHeight="1" x14ac:dyDescent="0.35">
      <c r="B28" s="4"/>
      <c r="C28" s="28" t="s">
        <v>52</v>
      </c>
      <c r="D28" s="28" t="s">
        <v>32</v>
      </c>
      <c r="E28" s="29" t="s">
        <v>212</v>
      </c>
      <c r="F28" s="30" t="s">
        <v>213</v>
      </c>
      <c r="G28" s="31" t="s">
        <v>214</v>
      </c>
      <c r="H28" s="32">
        <v>34.65</v>
      </c>
      <c r="I28" s="32">
        <v>218.4</v>
      </c>
      <c r="J28" s="33">
        <v>113.65</v>
      </c>
      <c r="K28" s="34">
        <f t="shared" si="0"/>
        <v>3937.97</v>
      </c>
      <c r="L28" s="90">
        <f t="shared" si="9"/>
        <v>24821.160000000003</v>
      </c>
      <c r="M28" s="70">
        <v>34.65</v>
      </c>
      <c r="N28" s="71">
        <f t="shared" si="1"/>
        <v>3937.9724999999999</v>
      </c>
      <c r="O28" s="72"/>
      <c r="P28" s="73">
        <f t="shared" si="2"/>
        <v>0</v>
      </c>
      <c r="Q28" s="70">
        <f t="shared" si="3"/>
        <v>34.65</v>
      </c>
      <c r="R28" s="74">
        <f t="shared" si="4"/>
        <v>3937.9724999999999</v>
      </c>
      <c r="S28" s="75">
        <f t="shared" si="5"/>
        <v>1.0000006348448567</v>
      </c>
      <c r="T28" s="76">
        <f t="shared" si="6"/>
        <v>0</v>
      </c>
      <c r="U28" s="77">
        <f t="shared" si="7"/>
        <v>0</v>
      </c>
      <c r="V28" s="78">
        <f t="shared" si="8"/>
        <v>0</v>
      </c>
    </row>
    <row r="29" spans="2:22" s="5" customFormat="1" ht="33" customHeight="1" x14ac:dyDescent="0.35">
      <c r="B29" s="4"/>
      <c r="C29" s="28" t="s">
        <v>55</v>
      </c>
      <c r="D29" s="28" t="s">
        <v>32</v>
      </c>
      <c r="E29" s="29" t="s">
        <v>1000</v>
      </c>
      <c r="F29" s="30" t="s">
        <v>1001</v>
      </c>
      <c r="G29" s="31" t="s">
        <v>214</v>
      </c>
      <c r="H29" s="32">
        <v>99.96</v>
      </c>
      <c r="I29" s="32">
        <v>99.96</v>
      </c>
      <c r="J29" s="33">
        <v>113.65</v>
      </c>
      <c r="K29" s="34">
        <f t="shared" si="0"/>
        <v>11360.45</v>
      </c>
      <c r="L29" s="90">
        <f t="shared" si="9"/>
        <v>11360.454</v>
      </c>
      <c r="M29" s="70">
        <v>99.96</v>
      </c>
      <c r="N29" s="71">
        <f t="shared" si="1"/>
        <v>11360.454</v>
      </c>
      <c r="O29" s="72"/>
      <c r="P29" s="73">
        <f t="shared" si="2"/>
        <v>0</v>
      </c>
      <c r="Q29" s="70">
        <f t="shared" si="3"/>
        <v>99.96</v>
      </c>
      <c r="R29" s="74">
        <f t="shared" si="4"/>
        <v>11360.454</v>
      </c>
      <c r="S29" s="75">
        <f t="shared" si="5"/>
        <v>1.0000003520987284</v>
      </c>
      <c r="T29" s="76">
        <f t="shared" si="6"/>
        <v>0</v>
      </c>
      <c r="U29" s="77">
        <f t="shared" si="7"/>
        <v>0</v>
      </c>
      <c r="V29" s="78">
        <f t="shared" si="8"/>
        <v>0</v>
      </c>
    </row>
    <row r="30" spans="2:22" s="5" customFormat="1" ht="33" customHeight="1" x14ac:dyDescent="0.35">
      <c r="B30" s="4"/>
      <c r="C30" s="28" t="s">
        <v>58</v>
      </c>
      <c r="D30" s="28" t="s">
        <v>32</v>
      </c>
      <c r="E30" s="29" t="s">
        <v>1002</v>
      </c>
      <c r="F30" s="30" t="s">
        <v>1003</v>
      </c>
      <c r="G30" s="31" t="s">
        <v>214</v>
      </c>
      <c r="H30" s="32">
        <v>5.2249999999999996</v>
      </c>
      <c r="I30" s="32">
        <v>5.2249999999999996</v>
      </c>
      <c r="J30" s="33">
        <v>1671.32</v>
      </c>
      <c r="K30" s="34">
        <f t="shared" si="0"/>
        <v>8732.65</v>
      </c>
      <c r="L30" s="90">
        <f t="shared" si="9"/>
        <v>8732.646999999999</v>
      </c>
      <c r="M30" s="70">
        <v>5.2249999999999996</v>
      </c>
      <c r="N30" s="71">
        <f t="shared" si="1"/>
        <v>8732.646999999999</v>
      </c>
      <c r="O30" s="72"/>
      <c r="P30" s="73">
        <f t="shared" si="2"/>
        <v>0</v>
      </c>
      <c r="Q30" s="70">
        <f t="shared" si="3"/>
        <v>5.2249999999999996</v>
      </c>
      <c r="R30" s="74">
        <f t="shared" si="4"/>
        <v>8732.646999999999</v>
      </c>
      <c r="S30" s="75">
        <f t="shared" si="5"/>
        <v>0.99999965646166966</v>
      </c>
      <c r="T30" s="76">
        <f t="shared" si="6"/>
        <v>0</v>
      </c>
      <c r="U30" s="77">
        <f t="shared" si="7"/>
        <v>0</v>
      </c>
      <c r="V30" s="78">
        <f t="shared" si="8"/>
        <v>0</v>
      </c>
    </row>
    <row r="31" spans="2:22" s="5" customFormat="1" ht="38" customHeight="1" x14ac:dyDescent="0.35">
      <c r="B31" s="4"/>
      <c r="C31" s="28" t="s">
        <v>61</v>
      </c>
      <c r="D31" s="28" t="s">
        <v>32</v>
      </c>
      <c r="E31" s="29" t="s">
        <v>215</v>
      </c>
      <c r="F31" s="30" t="s">
        <v>216</v>
      </c>
      <c r="G31" s="31" t="s">
        <v>214</v>
      </c>
      <c r="H31" s="32">
        <v>266.39999999999998</v>
      </c>
      <c r="I31" s="32">
        <v>450.15</v>
      </c>
      <c r="J31" s="33">
        <v>100.28</v>
      </c>
      <c r="K31" s="34">
        <f t="shared" si="0"/>
        <v>26714.59</v>
      </c>
      <c r="L31" s="90">
        <f t="shared" si="9"/>
        <v>45141.042000000001</v>
      </c>
      <c r="M31" s="70">
        <v>266.39999999999998</v>
      </c>
      <c r="N31" s="71">
        <f t="shared" si="1"/>
        <v>26714.591999999997</v>
      </c>
      <c r="O31" s="72"/>
      <c r="P31" s="73">
        <f t="shared" si="2"/>
        <v>0</v>
      </c>
      <c r="Q31" s="70">
        <f t="shared" si="3"/>
        <v>266.39999999999998</v>
      </c>
      <c r="R31" s="74">
        <f t="shared" si="4"/>
        <v>26714.591999999997</v>
      </c>
      <c r="S31" s="75">
        <f t="shared" si="5"/>
        <v>1.0000000748654574</v>
      </c>
      <c r="T31" s="76">
        <f t="shared" si="6"/>
        <v>0</v>
      </c>
      <c r="U31" s="77">
        <f t="shared" si="7"/>
        <v>0</v>
      </c>
      <c r="V31" s="78">
        <f t="shared" si="8"/>
        <v>0</v>
      </c>
    </row>
    <row r="32" spans="2:22" s="5" customFormat="1" ht="38" customHeight="1" x14ac:dyDescent="0.35">
      <c r="B32" s="4"/>
      <c r="C32" s="28" t="s">
        <v>64</v>
      </c>
      <c r="D32" s="28" t="s">
        <v>32</v>
      </c>
      <c r="E32" s="29" t="s">
        <v>217</v>
      </c>
      <c r="F32" s="30" t="s">
        <v>218</v>
      </c>
      <c r="G32" s="31" t="s">
        <v>214</v>
      </c>
      <c r="H32" s="32">
        <v>197.52500000000001</v>
      </c>
      <c r="I32" s="32">
        <v>197.52500000000001</v>
      </c>
      <c r="J32" s="33">
        <v>213.93</v>
      </c>
      <c r="K32" s="34">
        <f t="shared" si="0"/>
        <v>42256.52</v>
      </c>
      <c r="L32" s="90">
        <f t="shared" si="9"/>
        <v>42256.523250000006</v>
      </c>
      <c r="M32" s="70">
        <v>197.52500000000001</v>
      </c>
      <c r="N32" s="71">
        <f t="shared" si="1"/>
        <v>42256.523250000006</v>
      </c>
      <c r="O32" s="72"/>
      <c r="P32" s="73">
        <f t="shared" si="2"/>
        <v>0</v>
      </c>
      <c r="Q32" s="70">
        <f t="shared" si="3"/>
        <v>197.52500000000001</v>
      </c>
      <c r="R32" s="74">
        <f t="shared" si="4"/>
        <v>42256.523250000006</v>
      </c>
      <c r="S32" s="75">
        <f t="shared" si="5"/>
        <v>1.0000000769112083</v>
      </c>
      <c r="T32" s="76">
        <f t="shared" si="6"/>
        <v>0</v>
      </c>
      <c r="U32" s="77">
        <f t="shared" si="7"/>
        <v>0</v>
      </c>
      <c r="V32" s="78">
        <f t="shared" si="8"/>
        <v>0</v>
      </c>
    </row>
    <row r="33" spans="2:22" s="5" customFormat="1" ht="38" customHeight="1" x14ac:dyDescent="0.35">
      <c r="B33" s="4"/>
      <c r="C33" s="28" t="s">
        <v>130</v>
      </c>
      <c r="D33" s="28" t="s">
        <v>32</v>
      </c>
      <c r="E33" s="29" t="s">
        <v>219</v>
      </c>
      <c r="F33" s="30" t="s">
        <v>220</v>
      </c>
      <c r="G33" s="31" t="s">
        <v>214</v>
      </c>
      <c r="H33" s="32">
        <v>1975.25</v>
      </c>
      <c r="I33" s="32">
        <v>3629</v>
      </c>
      <c r="J33" s="33">
        <v>1.34</v>
      </c>
      <c r="K33" s="34">
        <f t="shared" si="0"/>
        <v>2646.84</v>
      </c>
      <c r="L33" s="90">
        <f t="shared" si="9"/>
        <v>4862.8600000000006</v>
      </c>
      <c r="M33" s="70">
        <v>1975.25</v>
      </c>
      <c r="N33" s="71">
        <f t="shared" si="1"/>
        <v>2646.835</v>
      </c>
      <c r="O33" s="72"/>
      <c r="P33" s="73">
        <f t="shared" si="2"/>
        <v>0</v>
      </c>
      <c r="Q33" s="70">
        <f t="shared" si="3"/>
        <v>1975.25</v>
      </c>
      <c r="R33" s="74">
        <f t="shared" si="4"/>
        <v>2646.835</v>
      </c>
      <c r="S33" s="75">
        <f t="shared" si="5"/>
        <v>0.99999811095495006</v>
      </c>
      <c r="T33" s="76">
        <f t="shared" si="6"/>
        <v>0</v>
      </c>
      <c r="U33" s="77">
        <f t="shared" si="7"/>
        <v>0</v>
      </c>
      <c r="V33" s="78">
        <f t="shared" si="8"/>
        <v>0</v>
      </c>
    </row>
    <row r="34" spans="2:22" s="5" customFormat="1" ht="16.5" customHeight="1" x14ac:dyDescent="0.35">
      <c r="B34" s="4"/>
      <c r="C34" s="28" t="s">
        <v>133</v>
      </c>
      <c r="D34" s="28" t="s">
        <v>32</v>
      </c>
      <c r="E34" s="29" t="s">
        <v>221</v>
      </c>
      <c r="F34" s="30" t="s">
        <v>222</v>
      </c>
      <c r="G34" s="31" t="s">
        <v>223</v>
      </c>
      <c r="H34" s="32">
        <v>395.05</v>
      </c>
      <c r="I34" s="32">
        <v>725.8</v>
      </c>
      <c r="J34" s="33">
        <v>212.59</v>
      </c>
      <c r="K34" s="34">
        <f t="shared" si="0"/>
        <v>83983.679999999993</v>
      </c>
      <c r="L34" s="90">
        <f t="shared" si="9"/>
        <v>154297.82199999999</v>
      </c>
      <c r="M34" s="70">
        <v>395.05</v>
      </c>
      <c r="N34" s="71">
        <f t="shared" si="1"/>
        <v>83983.679499999998</v>
      </c>
      <c r="O34" s="72"/>
      <c r="P34" s="73">
        <f t="shared" si="2"/>
        <v>0</v>
      </c>
      <c r="Q34" s="70">
        <f t="shared" si="3"/>
        <v>395.05</v>
      </c>
      <c r="R34" s="74">
        <f t="shared" si="4"/>
        <v>83983.679499999998</v>
      </c>
      <c r="S34" s="75">
        <f t="shared" si="5"/>
        <v>0.99999999404646245</v>
      </c>
      <c r="T34" s="76">
        <f t="shared" si="6"/>
        <v>0</v>
      </c>
      <c r="U34" s="77">
        <f t="shared" si="7"/>
        <v>0</v>
      </c>
      <c r="V34" s="78">
        <f t="shared" si="8"/>
        <v>0</v>
      </c>
    </row>
    <row r="35" spans="2:22" s="5" customFormat="1" ht="24.15" customHeight="1" x14ac:dyDescent="0.35">
      <c r="B35" s="4"/>
      <c r="C35" s="28" t="s">
        <v>136</v>
      </c>
      <c r="D35" s="28" t="s">
        <v>32</v>
      </c>
      <c r="E35" s="29" t="s">
        <v>224</v>
      </c>
      <c r="F35" s="30" t="s">
        <v>225</v>
      </c>
      <c r="G35" s="31" t="s">
        <v>214</v>
      </c>
      <c r="H35" s="32">
        <v>162</v>
      </c>
      <c r="I35" s="32">
        <v>162</v>
      </c>
      <c r="J35" s="33">
        <v>106.96</v>
      </c>
      <c r="K35" s="34">
        <f t="shared" si="0"/>
        <v>17327.52</v>
      </c>
      <c r="L35" s="90">
        <f t="shared" si="9"/>
        <v>17327.52</v>
      </c>
      <c r="M35" s="70">
        <v>162</v>
      </c>
      <c r="N35" s="71">
        <f t="shared" si="1"/>
        <v>17327.52</v>
      </c>
      <c r="O35" s="72"/>
      <c r="P35" s="73">
        <f t="shared" si="2"/>
        <v>0</v>
      </c>
      <c r="Q35" s="70">
        <f t="shared" si="3"/>
        <v>162</v>
      </c>
      <c r="R35" s="74">
        <f t="shared" si="4"/>
        <v>17327.52</v>
      </c>
      <c r="S35" s="75">
        <f t="shared" si="5"/>
        <v>1</v>
      </c>
      <c r="T35" s="76">
        <f t="shared" si="6"/>
        <v>0</v>
      </c>
      <c r="U35" s="77">
        <f t="shared" si="7"/>
        <v>0</v>
      </c>
      <c r="V35" s="78">
        <f t="shared" si="8"/>
        <v>0</v>
      </c>
    </row>
    <row r="36" spans="2:22" s="5" customFormat="1" ht="24.15" customHeight="1" x14ac:dyDescent="0.35">
      <c r="B36" s="4"/>
      <c r="C36" s="28" t="s">
        <v>74</v>
      </c>
      <c r="D36" s="28" t="s">
        <v>32</v>
      </c>
      <c r="E36" s="29" t="s">
        <v>226</v>
      </c>
      <c r="F36" s="30" t="s">
        <v>227</v>
      </c>
      <c r="G36" s="31" t="s">
        <v>214</v>
      </c>
      <c r="H36" s="32">
        <v>142.80000000000001</v>
      </c>
      <c r="I36" s="32">
        <f>142.8+183.75</f>
        <v>326.55</v>
      </c>
      <c r="J36" s="33">
        <v>120.34</v>
      </c>
      <c r="K36" s="34">
        <f t="shared" si="0"/>
        <v>17184.55</v>
      </c>
      <c r="L36" s="90">
        <f t="shared" si="9"/>
        <v>39297.027000000002</v>
      </c>
      <c r="M36" s="70">
        <v>142.80000000000001</v>
      </c>
      <c r="N36" s="71">
        <f t="shared" si="1"/>
        <v>17184.552000000003</v>
      </c>
      <c r="O36" s="72"/>
      <c r="P36" s="73">
        <f t="shared" si="2"/>
        <v>0</v>
      </c>
      <c r="Q36" s="70">
        <f t="shared" si="3"/>
        <v>142.80000000000001</v>
      </c>
      <c r="R36" s="74">
        <f t="shared" si="4"/>
        <v>17184.552000000003</v>
      </c>
      <c r="S36" s="75">
        <f t="shared" si="5"/>
        <v>1.0000001163836123</v>
      </c>
      <c r="T36" s="76">
        <f t="shared" si="6"/>
        <v>0</v>
      </c>
      <c r="U36" s="77">
        <f t="shared" si="7"/>
        <v>0</v>
      </c>
      <c r="V36" s="78">
        <f t="shared" si="8"/>
        <v>0</v>
      </c>
    </row>
    <row r="37" spans="2:22" s="5" customFormat="1" ht="24.15" customHeight="1" x14ac:dyDescent="0.35">
      <c r="B37" s="4"/>
      <c r="C37" s="28" t="s">
        <v>143</v>
      </c>
      <c r="D37" s="28" t="s">
        <v>32</v>
      </c>
      <c r="E37" s="29" t="s">
        <v>228</v>
      </c>
      <c r="F37" s="30" t="s">
        <v>229</v>
      </c>
      <c r="G37" s="31" t="s">
        <v>207</v>
      </c>
      <c r="H37" s="32">
        <v>408</v>
      </c>
      <c r="I37" s="32">
        <f>408+525</f>
        <v>933</v>
      </c>
      <c r="J37" s="33">
        <v>10.7</v>
      </c>
      <c r="K37" s="34">
        <f t="shared" si="0"/>
        <v>4365.6000000000004</v>
      </c>
      <c r="L37" s="90">
        <f t="shared" si="9"/>
        <v>9983.0999999999985</v>
      </c>
      <c r="M37" s="70">
        <v>408</v>
      </c>
      <c r="N37" s="71">
        <f t="shared" si="1"/>
        <v>4365.5999999999995</v>
      </c>
      <c r="O37" s="72"/>
      <c r="P37" s="73">
        <f t="shared" si="2"/>
        <v>0</v>
      </c>
      <c r="Q37" s="70">
        <f t="shared" si="3"/>
        <v>408</v>
      </c>
      <c r="R37" s="74">
        <f t="shared" si="4"/>
        <v>4365.5999999999995</v>
      </c>
      <c r="S37" s="75">
        <f t="shared" si="5"/>
        <v>0.99999999999999978</v>
      </c>
      <c r="T37" s="76">
        <f t="shared" si="6"/>
        <v>0</v>
      </c>
      <c r="U37" s="77">
        <f t="shared" si="7"/>
        <v>0</v>
      </c>
      <c r="V37" s="78">
        <f t="shared" si="8"/>
        <v>0</v>
      </c>
    </row>
    <row r="38" spans="2:22" s="5" customFormat="1" ht="24.15" customHeight="1" x14ac:dyDescent="0.35">
      <c r="B38" s="4"/>
      <c r="C38" s="28" t="s">
        <v>147</v>
      </c>
      <c r="D38" s="28" t="s">
        <v>32</v>
      </c>
      <c r="E38" s="29" t="s">
        <v>777</v>
      </c>
      <c r="F38" s="30" t="s">
        <v>778</v>
      </c>
      <c r="G38" s="31" t="s">
        <v>207</v>
      </c>
      <c r="H38" s="32">
        <v>128</v>
      </c>
      <c r="I38" s="32">
        <v>128</v>
      </c>
      <c r="J38" s="33">
        <v>33.43</v>
      </c>
      <c r="K38" s="34">
        <f t="shared" si="0"/>
        <v>4279.04</v>
      </c>
      <c r="L38" s="90">
        <f t="shared" si="9"/>
        <v>4279.04</v>
      </c>
      <c r="M38" s="70">
        <v>89.6</v>
      </c>
      <c r="N38" s="71">
        <f t="shared" si="1"/>
        <v>2995.328</v>
      </c>
      <c r="O38" s="72"/>
      <c r="P38" s="73">
        <f t="shared" si="2"/>
        <v>0</v>
      </c>
      <c r="Q38" s="70">
        <f t="shared" si="3"/>
        <v>89.6</v>
      </c>
      <c r="R38" s="74">
        <f t="shared" si="4"/>
        <v>2995.328</v>
      </c>
      <c r="S38" s="75">
        <f t="shared" si="5"/>
        <v>0.7</v>
      </c>
      <c r="T38" s="76">
        <f t="shared" si="6"/>
        <v>38.400000000000006</v>
      </c>
      <c r="U38" s="77">
        <f t="shared" si="7"/>
        <v>1283.7120000000002</v>
      </c>
      <c r="V38" s="78">
        <f t="shared" si="8"/>
        <v>0.30000000000000004</v>
      </c>
    </row>
    <row r="39" spans="2:22" s="5" customFormat="1" ht="24.15" customHeight="1" x14ac:dyDescent="0.35">
      <c r="B39" s="4"/>
      <c r="C39" s="28" t="s">
        <v>149</v>
      </c>
      <c r="D39" s="28" t="s">
        <v>32</v>
      </c>
      <c r="E39" s="29" t="s">
        <v>463</v>
      </c>
      <c r="F39" s="30" t="s">
        <v>464</v>
      </c>
      <c r="G39" s="31" t="s">
        <v>207</v>
      </c>
      <c r="H39" s="32">
        <v>128</v>
      </c>
      <c r="I39" s="32">
        <v>128</v>
      </c>
      <c r="J39" s="33">
        <v>21.39</v>
      </c>
      <c r="K39" s="34">
        <f t="shared" si="0"/>
        <v>2737.92</v>
      </c>
      <c r="L39" s="90">
        <f t="shared" si="9"/>
        <v>2737.92</v>
      </c>
      <c r="M39" s="70">
        <v>0</v>
      </c>
      <c r="N39" s="71">
        <f t="shared" si="1"/>
        <v>0</v>
      </c>
      <c r="O39" s="72"/>
      <c r="P39" s="73">
        <f t="shared" si="2"/>
        <v>0</v>
      </c>
      <c r="Q39" s="70">
        <f t="shared" si="3"/>
        <v>0</v>
      </c>
      <c r="R39" s="74">
        <f t="shared" si="4"/>
        <v>0</v>
      </c>
      <c r="S39" s="75">
        <f t="shared" si="5"/>
        <v>0</v>
      </c>
      <c r="T39" s="76">
        <f t="shared" si="6"/>
        <v>128</v>
      </c>
      <c r="U39" s="77">
        <f t="shared" si="7"/>
        <v>2737.92</v>
      </c>
      <c r="V39" s="78">
        <f t="shared" si="8"/>
        <v>1</v>
      </c>
    </row>
    <row r="40" spans="2:22" s="5" customFormat="1" ht="16.5" customHeight="1" x14ac:dyDescent="0.35">
      <c r="B40" s="4"/>
      <c r="C40" s="38" t="s">
        <v>151</v>
      </c>
      <c r="D40" s="38" t="s">
        <v>193</v>
      </c>
      <c r="E40" s="39" t="s">
        <v>929</v>
      </c>
      <c r="F40" s="40" t="s">
        <v>930</v>
      </c>
      <c r="G40" s="41" t="s">
        <v>323</v>
      </c>
      <c r="H40" s="42">
        <v>3.84</v>
      </c>
      <c r="I40" s="42">
        <v>3.84</v>
      </c>
      <c r="J40" s="43">
        <v>187.19</v>
      </c>
      <c r="K40" s="44">
        <f t="shared" si="0"/>
        <v>718.81</v>
      </c>
      <c r="L40" s="90">
        <f t="shared" si="9"/>
        <v>718.80959999999993</v>
      </c>
      <c r="M40" s="70">
        <v>0</v>
      </c>
      <c r="N40" s="71">
        <f t="shared" si="1"/>
        <v>0</v>
      </c>
      <c r="O40" s="72"/>
      <c r="P40" s="73">
        <f t="shared" si="2"/>
        <v>0</v>
      </c>
      <c r="Q40" s="70">
        <f t="shared" si="3"/>
        <v>0</v>
      </c>
      <c r="R40" s="74">
        <f t="shared" si="4"/>
        <v>0</v>
      </c>
      <c r="S40" s="75">
        <f t="shared" si="5"/>
        <v>0</v>
      </c>
      <c r="T40" s="76">
        <f t="shared" si="6"/>
        <v>3.84</v>
      </c>
      <c r="U40" s="77">
        <f t="shared" si="7"/>
        <v>718.80959999999993</v>
      </c>
      <c r="V40" s="78">
        <f t="shared" si="8"/>
        <v>1</v>
      </c>
    </row>
    <row r="41" spans="2:22" s="5" customFormat="1" ht="24.15" customHeight="1" x14ac:dyDescent="0.35">
      <c r="B41" s="4"/>
      <c r="C41" s="28" t="s">
        <v>155</v>
      </c>
      <c r="D41" s="28" t="s">
        <v>32</v>
      </c>
      <c r="E41" s="29" t="s">
        <v>931</v>
      </c>
      <c r="F41" s="30" t="s">
        <v>932</v>
      </c>
      <c r="G41" s="31" t="s">
        <v>207</v>
      </c>
      <c r="H41" s="32">
        <v>128</v>
      </c>
      <c r="I41" s="32">
        <f>128+525</f>
        <v>653</v>
      </c>
      <c r="J41" s="33">
        <v>10.7</v>
      </c>
      <c r="K41" s="34">
        <f t="shared" si="0"/>
        <v>1369.6</v>
      </c>
      <c r="L41" s="90">
        <f t="shared" si="9"/>
        <v>6987.0999999999995</v>
      </c>
      <c r="M41" s="70">
        <v>128</v>
      </c>
      <c r="N41" s="71">
        <f t="shared" si="1"/>
        <v>1369.6</v>
      </c>
      <c r="O41" s="72"/>
      <c r="P41" s="73">
        <f t="shared" si="2"/>
        <v>0</v>
      </c>
      <c r="Q41" s="70">
        <f t="shared" si="3"/>
        <v>128</v>
      </c>
      <c r="R41" s="74">
        <f t="shared" si="4"/>
        <v>1369.6</v>
      </c>
      <c r="S41" s="75">
        <f t="shared" si="5"/>
        <v>1</v>
      </c>
      <c r="T41" s="76">
        <f t="shared" si="6"/>
        <v>0</v>
      </c>
      <c r="U41" s="77">
        <f t="shared" si="7"/>
        <v>0</v>
      </c>
      <c r="V41" s="78">
        <f t="shared" si="8"/>
        <v>0</v>
      </c>
    </row>
    <row r="42" spans="2:22" s="5" customFormat="1" ht="24.15" customHeight="1" x14ac:dyDescent="0.35">
      <c r="B42" s="4"/>
      <c r="C42" s="28" t="s">
        <v>157</v>
      </c>
      <c r="D42" s="28" t="s">
        <v>32</v>
      </c>
      <c r="E42" s="29" t="s">
        <v>231</v>
      </c>
      <c r="F42" s="30" t="s">
        <v>232</v>
      </c>
      <c r="G42" s="31" t="s">
        <v>207</v>
      </c>
      <c r="H42" s="32">
        <v>626</v>
      </c>
      <c r="I42" s="32">
        <v>626</v>
      </c>
      <c r="J42" s="33">
        <v>16.04</v>
      </c>
      <c r="K42" s="34">
        <f t="shared" si="0"/>
        <v>10041.040000000001</v>
      </c>
      <c r="L42" s="90">
        <f t="shared" si="9"/>
        <v>10041.039999999999</v>
      </c>
      <c r="M42" s="70">
        <v>626</v>
      </c>
      <c r="N42" s="71">
        <f t="shared" si="1"/>
        <v>10041.039999999999</v>
      </c>
      <c r="O42" s="72"/>
      <c r="P42" s="73">
        <f t="shared" si="2"/>
        <v>0</v>
      </c>
      <c r="Q42" s="70">
        <f t="shared" si="3"/>
        <v>626</v>
      </c>
      <c r="R42" s="74">
        <f t="shared" si="4"/>
        <v>10041.039999999999</v>
      </c>
      <c r="S42" s="75">
        <f t="shared" si="5"/>
        <v>0.99999999999999978</v>
      </c>
      <c r="T42" s="76">
        <f t="shared" si="6"/>
        <v>0</v>
      </c>
      <c r="U42" s="77">
        <f t="shared" si="7"/>
        <v>0</v>
      </c>
      <c r="V42" s="78">
        <f t="shared" si="8"/>
        <v>0</v>
      </c>
    </row>
    <row r="43" spans="2:22" s="23" customFormat="1" ht="23" customHeight="1" x14ac:dyDescent="0.25">
      <c r="B43" s="22"/>
      <c r="D43" s="24" t="s">
        <v>27</v>
      </c>
      <c r="E43" s="36" t="s">
        <v>0</v>
      </c>
      <c r="F43" s="36" t="s">
        <v>907</v>
      </c>
      <c r="J43" s="26"/>
      <c r="K43" s="37">
        <f>SUM(K44:K47)</f>
        <v>14531.470000000001</v>
      </c>
      <c r="L43" s="37">
        <f>SUM(L44:L47)</f>
        <v>14531.4784</v>
      </c>
      <c r="N43" s="37">
        <f>SUM(N44:N47)</f>
        <v>14531.4784</v>
      </c>
      <c r="P43" s="37">
        <f>SUM(P44:P47)</f>
        <v>0</v>
      </c>
      <c r="R43" s="37">
        <f>SUM(R44:R47)</f>
        <v>14531.4784</v>
      </c>
      <c r="U43" s="37">
        <f>SUM(U44:U47)</f>
        <v>0</v>
      </c>
    </row>
    <row r="44" spans="2:22" s="5" customFormat="1" ht="33" customHeight="1" x14ac:dyDescent="0.35">
      <c r="B44" s="4"/>
      <c r="C44" s="28" t="s">
        <v>159</v>
      </c>
      <c r="D44" s="28" t="s">
        <v>32</v>
      </c>
      <c r="E44" s="29" t="s">
        <v>908</v>
      </c>
      <c r="F44" s="30" t="s">
        <v>909</v>
      </c>
      <c r="G44" s="31" t="s">
        <v>214</v>
      </c>
      <c r="H44" s="32">
        <v>3.24</v>
      </c>
      <c r="I44" s="32">
        <v>3.24</v>
      </c>
      <c r="J44" s="33">
        <v>1738.18</v>
      </c>
      <c r="K44" s="34">
        <f>ROUND(J44*H44,2)</f>
        <v>5631.7</v>
      </c>
      <c r="L44" s="90">
        <f t="shared" si="9"/>
        <v>5631.7032000000008</v>
      </c>
      <c r="M44" s="70">
        <v>3.24</v>
      </c>
      <c r="N44" s="71">
        <f>M44*J44</f>
        <v>5631.7032000000008</v>
      </c>
      <c r="O44" s="72"/>
      <c r="P44" s="73">
        <f>O44*J44</f>
        <v>0</v>
      </c>
      <c r="Q44" s="70">
        <f>O44+M44</f>
        <v>3.24</v>
      </c>
      <c r="R44" s="74">
        <f>Q44*J44</f>
        <v>5631.7032000000008</v>
      </c>
      <c r="S44" s="75">
        <f>R44/K44</f>
        <v>1.0000005682120854</v>
      </c>
      <c r="T44" s="76">
        <f>H44-Q44</f>
        <v>0</v>
      </c>
      <c r="U44" s="77">
        <f>T44*J44</f>
        <v>0</v>
      </c>
      <c r="V44" s="78">
        <f>T44/H44</f>
        <v>0</v>
      </c>
    </row>
    <row r="45" spans="2:22" s="5" customFormat="1" ht="16.5" customHeight="1" x14ac:dyDescent="0.35">
      <c r="B45" s="4"/>
      <c r="C45" s="28" t="s">
        <v>161</v>
      </c>
      <c r="D45" s="28" t="s">
        <v>32</v>
      </c>
      <c r="E45" s="29" t="s">
        <v>1004</v>
      </c>
      <c r="F45" s="30" t="s">
        <v>1005</v>
      </c>
      <c r="G45" s="31" t="s">
        <v>214</v>
      </c>
      <c r="H45" s="32">
        <v>0.32</v>
      </c>
      <c r="I45" s="32">
        <v>0.32</v>
      </c>
      <c r="J45" s="33">
        <v>1003.7</v>
      </c>
      <c r="K45" s="34">
        <f>ROUND(J45*H45,2)</f>
        <v>321.18</v>
      </c>
      <c r="L45" s="90">
        <f t="shared" si="9"/>
        <v>321.18400000000003</v>
      </c>
      <c r="M45" s="70">
        <v>0.32</v>
      </c>
      <c r="N45" s="71">
        <f>M45*J45</f>
        <v>321.18400000000003</v>
      </c>
      <c r="O45" s="72"/>
      <c r="P45" s="73">
        <f>O45*J45</f>
        <v>0</v>
      </c>
      <c r="Q45" s="70">
        <f>O45+M45</f>
        <v>0.32</v>
      </c>
      <c r="R45" s="74">
        <f>Q45*J45</f>
        <v>321.18400000000003</v>
      </c>
      <c r="S45" s="75">
        <f>R45/K45</f>
        <v>1.0000124540755964</v>
      </c>
      <c r="T45" s="76">
        <f>H45-Q45</f>
        <v>0</v>
      </c>
      <c r="U45" s="77">
        <f>T45*J45</f>
        <v>0</v>
      </c>
      <c r="V45" s="78">
        <f>T45/H45</f>
        <v>0</v>
      </c>
    </row>
    <row r="46" spans="2:22" s="5" customFormat="1" ht="32.5" customHeight="1" x14ac:dyDescent="0.35">
      <c r="B46" s="4"/>
      <c r="C46" s="28" t="s">
        <v>163</v>
      </c>
      <c r="D46" s="28" t="s">
        <v>32</v>
      </c>
      <c r="E46" s="29" t="s">
        <v>1006</v>
      </c>
      <c r="F46" s="30" t="s">
        <v>1007</v>
      </c>
      <c r="G46" s="31" t="s">
        <v>120</v>
      </c>
      <c r="H46" s="32">
        <v>16</v>
      </c>
      <c r="I46" s="32">
        <v>16</v>
      </c>
      <c r="J46" s="33">
        <v>86.91</v>
      </c>
      <c r="K46" s="34">
        <f>ROUND(J46*H46,2)</f>
        <v>1390.56</v>
      </c>
      <c r="L46" s="90">
        <f t="shared" si="9"/>
        <v>1390.56</v>
      </c>
      <c r="M46" s="70">
        <v>16</v>
      </c>
      <c r="N46" s="71">
        <f>M46*J46</f>
        <v>1390.56</v>
      </c>
      <c r="O46" s="72"/>
      <c r="P46" s="73">
        <f>O46*J46</f>
        <v>0</v>
      </c>
      <c r="Q46" s="70">
        <f>O46+M46</f>
        <v>16</v>
      </c>
      <c r="R46" s="74">
        <f>Q46*J46</f>
        <v>1390.56</v>
      </c>
      <c r="S46" s="75">
        <f>R46/K46</f>
        <v>1</v>
      </c>
      <c r="T46" s="76">
        <f>H46-Q46</f>
        <v>0</v>
      </c>
      <c r="U46" s="77">
        <f>T46*J46</f>
        <v>0</v>
      </c>
      <c r="V46" s="78">
        <f>T46/H46</f>
        <v>0</v>
      </c>
    </row>
    <row r="47" spans="2:22" s="5" customFormat="1" ht="16.5" customHeight="1" x14ac:dyDescent="0.35">
      <c r="B47" s="4"/>
      <c r="C47" s="28" t="s">
        <v>166</v>
      </c>
      <c r="D47" s="28" t="s">
        <v>32</v>
      </c>
      <c r="E47" s="29" t="s">
        <v>1008</v>
      </c>
      <c r="F47" s="30" t="s">
        <v>1009</v>
      </c>
      <c r="G47" s="31" t="s">
        <v>214</v>
      </c>
      <c r="H47" s="32">
        <v>0.84</v>
      </c>
      <c r="I47" s="32">
        <v>0.84</v>
      </c>
      <c r="J47" s="33">
        <v>8557.18</v>
      </c>
      <c r="K47" s="34">
        <f>ROUND(J47*H47,2)</f>
        <v>7188.03</v>
      </c>
      <c r="L47" s="90">
        <f t="shared" si="9"/>
        <v>7188.0312000000004</v>
      </c>
      <c r="M47" s="70">
        <v>0.84</v>
      </c>
      <c r="N47" s="71">
        <f>M47*J47</f>
        <v>7188.0312000000004</v>
      </c>
      <c r="O47" s="72"/>
      <c r="P47" s="73">
        <f>O47*J47</f>
        <v>0</v>
      </c>
      <c r="Q47" s="70">
        <f>O47+M47</f>
        <v>0.84</v>
      </c>
      <c r="R47" s="74">
        <f>Q47*J47</f>
        <v>7188.0312000000004</v>
      </c>
      <c r="S47" s="75">
        <f>R47/K47</f>
        <v>1.0000001669442116</v>
      </c>
      <c r="T47" s="76">
        <f>H47-Q47</f>
        <v>0</v>
      </c>
      <c r="U47" s="77">
        <f>T47*J47</f>
        <v>0</v>
      </c>
      <c r="V47" s="78">
        <f>T47/H47</f>
        <v>0</v>
      </c>
    </row>
    <row r="48" spans="2:22" s="23" customFormat="1" ht="23" customHeight="1" x14ac:dyDescent="0.25">
      <c r="B48" s="22"/>
      <c r="D48" s="24" t="s">
        <v>27</v>
      </c>
      <c r="E48" s="36" t="s">
        <v>38</v>
      </c>
      <c r="F48" s="36" t="s">
        <v>1010</v>
      </c>
      <c r="J48" s="26"/>
      <c r="K48" s="37">
        <f>SUM(K49:K51)</f>
        <v>54642.81</v>
      </c>
      <c r="L48" s="37">
        <f>SUM(L49:L51)</f>
        <v>60432.692999999999</v>
      </c>
      <c r="N48" s="37">
        <f>SUM(N49:N51)</f>
        <v>54642.80805</v>
      </c>
      <c r="P48" s="37">
        <f>SUM(P49:P51)</f>
        <v>0</v>
      </c>
      <c r="R48" s="37">
        <f>SUM(R49:R51)</f>
        <v>54642.80805</v>
      </c>
      <c r="U48" s="37">
        <f>SUM(U49:U51)</f>
        <v>0</v>
      </c>
    </row>
    <row r="49" spans="2:22" s="5" customFormat="1" ht="24.15" customHeight="1" x14ac:dyDescent="0.35">
      <c r="B49" s="4"/>
      <c r="C49" s="28" t="s">
        <v>169</v>
      </c>
      <c r="D49" s="28" t="s">
        <v>32</v>
      </c>
      <c r="E49" s="29" t="s">
        <v>1011</v>
      </c>
      <c r="F49" s="30" t="s">
        <v>1012</v>
      </c>
      <c r="G49" s="31" t="s">
        <v>120</v>
      </c>
      <c r="H49" s="32">
        <v>5.5</v>
      </c>
      <c r="I49" s="32">
        <v>5.5</v>
      </c>
      <c r="J49" s="33">
        <v>2139.29</v>
      </c>
      <c r="K49" s="34">
        <f>ROUND(J49*H49,2)</f>
        <v>11766.1</v>
      </c>
      <c r="L49" s="90">
        <f t="shared" si="9"/>
        <v>11766.094999999999</v>
      </c>
      <c r="M49" s="70">
        <v>5.5</v>
      </c>
      <c r="N49" s="71">
        <f>M49*J49</f>
        <v>11766.094999999999</v>
      </c>
      <c r="O49" s="72"/>
      <c r="P49" s="73">
        <f>O49*J49</f>
        <v>0</v>
      </c>
      <c r="Q49" s="70">
        <f>O49+M49</f>
        <v>5.5</v>
      </c>
      <c r="R49" s="74">
        <f>Q49*J49</f>
        <v>11766.094999999999</v>
      </c>
      <c r="S49" s="75">
        <f>R49/K49</f>
        <v>0.99999957505035642</v>
      </c>
      <c r="T49" s="76">
        <f>H49-Q49</f>
        <v>0</v>
      </c>
      <c r="U49" s="77">
        <f>T49*J49</f>
        <v>0</v>
      </c>
      <c r="V49" s="78">
        <f>T49/H49</f>
        <v>0</v>
      </c>
    </row>
    <row r="50" spans="2:22" s="5" customFormat="1" ht="24.15" customHeight="1" x14ac:dyDescent="0.35">
      <c r="B50" s="4"/>
      <c r="C50" s="38" t="s">
        <v>170</v>
      </c>
      <c r="D50" s="38" t="s">
        <v>193</v>
      </c>
      <c r="E50" s="39" t="s">
        <v>1013</v>
      </c>
      <c r="F50" s="40" t="s">
        <v>1014</v>
      </c>
      <c r="G50" s="41" t="s">
        <v>207</v>
      </c>
      <c r="H50" s="42">
        <v>5.665</v>
      </c>
      <c r="I50" s="42">
        <f>3.6+5.8</f>
        <v>9.4</v>
      </c>
      <c r="J50" s="43">
        <v>1550.17</v>
      </c>
      <c r="K50" s="44">
        <f>ROUND(J50*H50,2)</f>
        <v>8781.7099999999991</v>
      </c>
      <c r="L50" s="90">
        <f t="shared" si="9"/>
        <v>14571.598000000002</v>
      </c>
      <c r="M50" s="70">
        <v>5.665</v>
      </c>
      <c r="N50" s="71">
        <f>M50*J50</f>
        <v>8781.7130500000003</v>
      </c>
      <c r="O50" s="72"/>
      <c r="P50" s="73">
        <f>O50*J50</f>
        <v>0</v>
      </c>
      <c r="Q50" s="70">
        <f>O50+M50</f>
        <v>5.665</v>
      </c>
      <c r="R50" s="74">
        <f>Q50*J50</f>
        <v>8781.7130500000003</v>
      </c>
      <c r="S50" s="75">
        <f>R50/K50</f>
        <v>1.0000003473127672</v>
      </c>
      <c r="T50" s="76">
        <f>H50-Q50</f>
        <v>0</v>
      </c>
      <c r="U50" s="77">
        <f>T50*J50</f>
        <v>0</v>
      </c>
      <c r="V50" s="78">
        <f>T50/H50</f>
        <v>0</v>
      </c>
    </row>
    <row r="51" spans="2:22" s="5" customFormat="1" ht="21.75" customHeight="1" x14ac:dyDescent="0.35">
      <c r="B51" s="4"/>
      <c r="C51" s="28" t="s">
        <v>171</v>
      </c>
      <c r="D51" s="28" t="s">
        <v>32</v>
      </c>
      <c r="E51" s="29" t="s">
        <v>1015</v>
      </c>
      <c r="F51" s="30" t="s">
        <v>1016</v>
      </c>
      <c r="G51" s="31" t="s">
        <v>73</v>
      </c>
      <c r="H51" s="32">
        <v>3</v>
      </c>
      <c r="I51" s="32">
        <v>3</v>
      </c>
      <c r="J51" s="33">
        <v>11365</v>
      </c>
      <c r="K51" s="34">
        <f>ROUND(J51*H51,2)</f>
        <v>34095</v>
      </c>
      <c r="L51" s="90">
        <f t="shared" si="9"/>
        <v>34095</v>
      </c>
      <c r="M51" s="70">
        <v>3</v>
      </c>
      <c r="N51" s="71">
        <f>M51*J51</f>
        <v>34095</v>
      </c>
      <c r="O51" s="72"/>
      <c r="P51" s="73">
        <f>O51*J51</f>
        <v>0</v>
      </c>
      <c r="Q51" s="70">
        <f>O51+M51</f>
        <v>3</v>
      </c>
      <c r="R51" s="74">
        <f>Q51*J51</f>
        <v>34095</v>
      </c>
      <c r="S51" s="75">
        <f>R51/K51</f>
        <v>1</v>
      </c>
      <c r="T51" s="76">
        <f>H51-Q51</f>
        <v>0</v>
      </c>
      <c r="U51" s="77">
        <f>T51*J51</f>
        <v>0</v>
      </c>
      <c r="V51" s="78">
        <f>T51/H51</f>
        <v>0</v>
      </c>
    </row>
    <row r="52" spans="2:22" s="23" customFormat="1" ht="23" customHeight="1" x14ac:dyDescent="0.25">
      <c r="B52" s="22"/>
      <c r="D52" s="24" t="s">
        <v>27</v>
      </c>
      <c r="E52" s="36" t="s">
        <v>41</v>
      </c>
      <c r="F52" s="36" t="s">
        <v>720</v>
      </c>
      <c r="J52" s="26"/>
      <c r="K52" s="37">
        <f>SUM(K53:K54)</f>
        <v>7442.6399999999994</v>
      </c>
      <c r="L52" s="37">
        <f>SUM(L53:L54)</f>
        <v>7442.6399999999994</v>
      </c>
      <c r="N52" s="37">
        <f>SUM(N53:N54)</f>
        <v>7442.6399999999994</v>
      </c>
      <c r="P52" s="37">
        <f>SUM(P53:P54)</f>
        <v>0</v>
      </c>
      <c r="R52" s="37">
        <f>SUM(R53:R54)</f>
        <v>7442.6399999999994</v>
      </c>
      <c r="U52" s="37">
        <f>SUM(U53:U54)</f>
        <v>0</v>
      </c>
    </row>
    <row r="53" spans="2:22" s="5" customFormat="1" ht="24.15" customHeight="1" x14ac:dyDescent="0.35">
      <c r="B53" s="4"/>
      <c r="C53" s="28" t="s">
        <v>172</v>
      </c>
      <c r="D53" s="28" t="s">
        <v>32</v>
      </c>
      <c r="E53" s="29" t="s">
        <v>1017</v>
      </c>
      <c r="F53" s="30" t="s">
        <v>1018</v>
      </c>
      <c r="G53" s="31" t="s">
        <v>120</v>
      </c>
      <c r="H53" s="32">
        <v>4</v>
      </c>
      <c r="I53" s="32">
        <v>4</v>
      </c>
      <c r="J53" s="33">
        <v>601.67999999999995</v>
      </c>
      <c r="K53" s="34">
        <f>ROUND(J53*H53,2)</f>
        <v>2406.7199999999998</v>
      </c>
      <c r="L53" s="90">
        <f t="shared" si="9"/>
        <v>2406.7199999999998</v>
      </c>
      <c r="M53" s="70">
        <v>4</v>
      </c>
      <c r="N53" s="71">
        <f>M53*J53</f>
        <v>2406.7199999999998</v>
      </c>
      <c r="O53" s="72"/>
      <c r="P53" s="73">
        <f>O53*J53</f>
        <v>0</v>
      </c>
      <c r="Q53" s="70">
        <f>O53+M53</f>
        <v>4</v>
      </c>
      <c r="R53" s="74">
        <f>Q53*J53</f>
        <v>2406.7199999999998</v>
      </c>
      <c r="S53" s="75">
        <f>R53/K53</f>
        <v>1</v>
      </c>
      <c r="T53" s="76">
        <f>H53-Q53</f>
        <v>0</v>
      </c>
      <c r="U53" s="77">
        <f>T53*J53</f>
        <v>0</v>
      </c>
      <c r="V53" s="78">
        <f>T53/H53</f>
        <v>0</v>
      </c>
    </row>
    <row r="54" spans="2:22" s="5" customFormat="1" ht="21.75" customHeight="1" x14ac:dyDescent="0.35">
      <c r="B54" s="4"/>
      <c r="C54" s="38" t="s">
        <v>173</v>
      </c>
      <c r="D54" s="38" t="s">
        <v>193</v>
      </c>
      <c r="E54" s="39" t="s">
        <v>723</v>
      </c>
      <c r="F54" s="40" t="s">
        <v>1019</v>
      </c>
      <c r="G54" s="41" t="s">
        <v>73</v>
      </c>
      <c r="H54" s="42">
        <v>4</v>
      </c>
      <c r="I54" s="42">
        <v>4</v>
      </c>
      <c r="J54" s="43">
        <v>1258.98</v>
      </c>
      <c r="K54" s="44">
        <f>ROUND(J54*H54,2)</f>
        <v>5035.92</v>
      </c>
      <c r="L54" s="90">
        <f t="shared" si="9"/>
        <v>5035.92</v>
      </c>
      <c r="M54" s="70">
        <v>4</v>
      </c>
      <c r="N54" s="71">
        <f>M54*J54</f>
        <v>5035.92</v>
      </c>
      <c r="O54" s="72"/>
      <c r="P54" s="73">
        <f>O54*J54</f>
        <v>0</v>
      </c>
      <c r="Q54" s="70">
        <f>O54+M54</f>
        <v>4</v>
      </c>
      <c r="R54" s="74">
        <f>Q54*J54</f>
        <v>5035.92</v>
      </c>
      <c r="S54" s="75">
        <f>R54/K54</f>
        <v>1</v>
      </c>
      <c r="T54" s="76">
        <f>H54-Q54</f>
        <v>0</v>
      </c>
      <c r="U54" s="77">
        <f>T54*J54</f>
        <v>0</v>
      </c>
      <c r="V54" s="78">
        <f>T54/H54</f>
        <v>0</v>
      </c>
    </row>
    <row r="55" spans="2:22" s="23" customFormat="1" ht="23" customHeight="1" x14ac:dyDescent="0.25">
      <c r="B55" s="22"/>
      <c r="D55" s="24" t="s">
        <v>27</v>
      </c>
      <c r="E55" s="36" t="s">
        <v>30</v>
      </c>
      <c r="F55" s="36" t="s">
        <v>233</v>
      </c>
      <c r="J55" s="26"/>
      <c r="K55" s="37">
        <f>SUM(K56:K62)</f>
        <v>1333223.55</v>
      </c>
      <c r="L55" s="37">
        <f>SUM(L56:L62)</f>
        <v>1467273.6026900001</v>
      </c>
      <c r="N55" s="37">
        <f>SUM(N56:N62)</f>
        <v>1284962.8382999999</v>
      </c>
      <c r="P55" s="37">
        <f>SUM(P56:P62)</f>
        <v>0</v>
      </c>
      <c r="R55" s="37">
        <f>SUM(R56:R62)</f>
        <v>1284962.8382999999</v>
      </c>
      <c r="U55" s="37">
        <f>SUM(U56:U62)</f>
        <v>48260.715700000015</v>
      </c>
    </row>
    <row r="56" spans="2:22" s="5" customFormat="1" ht="21.75" customHeight="1" x14ac:dyDescent="0.35">
      <c r="B56" s="4"/>
      <c r="C56" s="28" t="s">
        <v>178</v>
      </c>
      <c r="D56" s="28" t="s">
        <v>32</v>
      </c>
      <c r="E56" s="29" t="s">
        <v>1020</v>
      </c>
      <c r="F56" s="30" t="s">
        <v>1021</v>
      </c>
      <c r="G56" s="31" t="s">
        <v>207</v>
      </c>
      <c r="H56" s="32">
        <v>6</v>
      </c>
      <c r="I56" s="32">
        <v>6</v>
      </c>
      <c r="J56" s="33">
        <v>167.13</v>
      </c>
      <c r="K56" s="34">
        <f t="shared" ref="K56:K62" si="10">ROUND(J56*H56,2)</f>
        <v>1002.78</v>
      </c>
      <c r="L56" s="90">
        <f t="shared" si="9"/>
        <v>1002.78</v>
      </c>
      <c r="M56" s="70">
        <v>6</v>
      </c>
      <c r="N56" s="71">
        <f t="shared" ref="N56:N62" si="11">M56*J56</f>
        <v>1002.78</v>
      </c>
      <c r="O56" s="72"/>
      <c r="P56" s="73">
        <f t="shared" ref="P56:P62" si="12">O56*J56</f>
        <v>0</v>
      </c>
      <c r="Q56" s="70">
        <f t="shared" ref="Q56:Q62" si="13">O56+M56</f>
        <v>6</v>
      </c>
      <c r="R56" s="74">
        <f t="shared" ref="R56:R62" si="14">Q56*J56</f>
        <v>1002.78</v>
      </c>
      <c r="S56" s="75">
        <f t="shared" ref="S56:S62" si="15">R56/K56</f>
        <v>1</v>
      </c>
      <c r="T56" s="76">
        <f t="shared" ref="T56:T62" si="16">H56-Q56</f>
        <v>0</v>
      </c>
      <c r="U56" s="77">
        <f t="shared" ref="U56:U62" si="17">T56*J56</f>
        <v>0</v>
      </c>
      <c r="V56" s="78">
        <f t="shared" ref="V56:V62" si="18">T56/H56</f>
        <v>0</v>
      </c>
    </row>
    <row r="57" spans="2:22" s="5" customFormat="1" ht="21.75" customHeight="1" x14ac:dyDescent="0.35">
      <c r="B57" s="4"/>
      <c r="C57" s="28" t="s">
        <v>181</v>
      </c>
      <c r="D57" s="28" t="s">
        <v>32</v>
      </c>
      <c r="E57" s="29" t="s">
        <v>935</v>
      </c>
      <c r="F57" s="30" t="s">
        <v>936</v>
      </c>
      <c r="G57" s="31" t="s">
        <v>207</v>
      </c>
      <c r="H57" s="32">
        <v>626</v>
      </c>
      <c r="I57" s="32">
        <f>677.5+11.5</f>
        <v>689</v>
      </c>
      <c r="J57" s="33">
        <v>260.73</v>
      </c>
      <c r="K57" s="34">
        <f t="shared" si="10"/>
        <v>163216.98000000001</v>
      </c>
      <c r="L57" s="90">
        <f t="shared" si="9"/>
        <v>179642.97</v>
      </c>
      <c r="M57" s="70">
        <v>626</v>
      </c>
      <c r="N57" s="71">
        <f t="shared" si="11"/>
        <v>163216.98000000001</v>
      </c>
      <c r="O57" s="72"/>
      <c r="P57" s="73">
        <f t="shared" si="12"/>
        <v>0</v>
      </c>
      <c r="Q57" s="70">
        <f t="shared" si="13"/>
        <v>626</v>
      </c>
      <c r="R57" s="74">
        <f t="shared" si="14"/>
        <v>163216.98000000001</v>
      </c>
      <c r="S57" s="75">
        <f t="shared" si="15"/>
        <v>1</v>
      </c>
      <c r="T57" s="76">
        <f t="shared" si="16"/>
        <v>0</v>
      </c>
      <c r="U57" s="77">
        <f t="shared" si="17"/>
        <v>0</v>
      </c>
      <c r="V57" s="78">
        <f t="shared" si="18"/>
        <v>0</v>
      </c>
    </row>
    <row r="58" spans="2:22" s="5" customFormat="1" ht="21.75" customHeight="1" x14ac:dyDescent="0.35">
      <c r="B58" s="4"/>
      <c r="C58" s="28" t="s">
        <v>184</v>
      </c>
      <c r="D58" s="28" t="s">
        <v>32</v>
      </c>
      <c r="E58" s="29" t="s">
        <v>1022</v>
      </c>
      <c r="F58" s="30" t="s">
        <v>1023</v>
      </c>
      <c r="G58" s="31" t="s">
        <v>207</v>
      </c>
      <c r="H58" s="32">
        <v>5</v>
      </c>
      <c r="I58" s="32">
        <v>3</v>
      </c>
      <c r="J58" s="33">
        <v>294.14999999999998</v>
      </c>
      <c r="K58" s="34">
        <f t="shared" si="10"/>
        <v>1470.75</v>
      </c>
      <c r="L58" s="90">
        <f t="shared" si="9"/>
        <v>882.44999999999993</v>
      </c>
      <c r="M58" s="70">
        <v>5</v>
      </c>
      <c r="N58" s="71">
        <f t="shared" si="11"/>
        <v>1470.75</v>
      </c>
      <c r="O58" s="72"/>
      <c r="P58" s="73">
        <f t="shared" si="12"/>
        <v>0</v>
      </c>
      <c r="Q58" s="70">
        <f t="shared" si="13"/>
        <v>5</v>
      </c>
      <c r="R58" s="74">
        <f t="shared" si="14"/>
        <v>1470.75</v>
      </c>
      <c r="S58" s="75">
        <f t="shared" si="15"/>
        <v>1</v>
      </c>
      <c r="T58" s="76">
        <f t="shared" si="16"/>
        <v>0</v>
      </c>
      <c r="U58" s="77">
        <f t="shared" si="17"/>
        <v>0</v>
      </c>
      <c r="V58" s="78">
        <f t="shared" si="18"/>
        <v>0</v>
      </c>
    </row>
    <row r="59" spans="2:22" s="5" customFormat="1" ht="21.75" customHeight="1" x14ac:dyDescent="0.35">
      <c r="B59" s="4"/>
      <c r="C59" s="28" t="s">
        <v>187</v>
      </c>
      <c r="D59" s="28" t="s">
        <v>32</v>
      </c>
      <c r="E59" s="29" t="s">
        <v>1024</v>
      </c>
      <c r="F59" s="30" t="s">
        <v>1025</v>
      </c>
      <c r="G59" s="31" t="s">
        <v>207</v>
      </c>
      <c r="H59" s="32">
        <v>11</v>
      </c>
      <c r="I59" s="32">
        <v>11</v>
      </c>
      <c r="J59" s="33">
        <v>320.89</v>
      </c>
      <c r="K59" s="34">
        <f t="shared" si="10"/>
        <v>3529.79</v>
      </c>
      <c r="L59" s="90">
        <f t="shared" si="9"/>
        <v>3529.79</v>
      </c>
      <c r="M59" s="70">
        <v>11</v>
      </c>
      <c r="N59" s="71">
        <f t="shared" si="11"/>
        <v>3529.79</v>
      </c>
      <c r="O59" s="72"/>
      <c r="P59" s="73">
        <f t="shared" si="12"/>
        <v>0</v>
      </c>
      <c r="Q59" s="70">
        <f t="shared" si="13"/>
        <v>11</v>
      </c>
      <c r="R59" s="74">
        <f t="shared" si="14"/>
        <v>3529.79</v>
      </c>
      <c r="S59" s="75">
        <f t="shared" si="15"/>
        <v>1</v>
      </c>
      <c r="T59" s="76">
        <f t="shared" si="16"/>
        <v>0</v>
      </c>
      <c r="U59" s="77">
        <f t="shared" si="17"/>
        <v>0</v>
      </c>
      <c r="V59" s="78">
        <f t="shared" si="18"/>
        <v>0</v>
      </c>
    </row>
    <row r="60" spans="2:22" s="5" customFormat="1" ht="24.15" customHeight="1" x14ac:dyDescent="0.35">
      <c r="B60" s="4"/>
      <c r="C60" s="28" t="s">
        <v>190</v>
      </c>
      <c r="D60" s="28" t="s">
        <v>32</v>
      </c>
      <c r="E60" s="29" t="s">
        <v>937</v>
      </c>
      <c r="F60" s="30" t="s">
        <v>938</v>
      </c>
      <c r="G60" s="31" t="s">
        <v>207</v>
      </c>
      <c r="H60" s="32">
        <v>406</v>
      </c>
      <c r="I60" s="153">
        <f>22.8+332.9+36.7</f>
        <v>392.4</v>
      </c>
      <c r="J60" s="33">
        <v>1577.69</v>
      </c>
      <c r="K60" s="34">
        <f t="shared" si="10"/>
        <v>640542.14</v>
      </c>
      <c r="L60" s="90">
        <f t="shared" si="9"/>
        <v>619085.55599999998</v>
      </c>
      <c r="M60" s="70">
        <v>392</v>
      </c>
      <c r="N60" s="71">
        <f t="shared" si="11"/>
        <v>618454.48</v>
      </c>
      <c r="O60" s="72"/>
      <c r="P60" s="73">
        <f t="shared" si="12"/>
        <v>0</v>
      </c>
      <c r="Q60" s="70">
        <f t="shared" si="13"/>
        <v>392</v>
      </c>
      <c r="R60" s="74">
        <f t="shared" si="14"/>
        <v>618454.48</v>
      </c>
      <c r="S60" s="75">
        <f t="shared" si="15"/>
        <v>0.96551724137931028</v>
      </c>
      <c r="T60" s="76">
        <f t="shared" si="16"/>
        <v>14</v>
      </c>
      <c r="U60" s="77">
        <f t="shared" si="17"/>
        <v>22087.66</v>
      </c>
      <c r="V60" s="78">
        <f t="shared" si="18"/>
        <v>3.4482758620689655E-2</v>
      </c>
    </row>
    <row r="61" spans="2:22" s="5" customFormat="1" ht="33" customHeight="1" x14ac:dyDescent="0.35">
      <c r="B61" s="4"/>
      <c r="C61" s="28" t="s">
        <v>195</v>
      </c>
      <c r="D61" s="28" t="s">
        <v>32</v>
      </c>
      <c r="E61" s="29" t="s">
        <v>1026</v>
      </c>
      <c r="F61" s="30" t="s">
        <v>1027</v>
      </c>
      <c r="G61" s="31" t="s">
        <v>207</v>
      </c>
      <c r="H61" s="32">
        <v>220</v>
      </c>
      <c r="I61" s="153">
        <f>183.7+83.5+11.5</f>
        <v>278.7</v>
      </c>
      <c r="J61" s="33">
        <v>869.09</v>
      </c>
      <c r="K61" s="34">
        <f t="shared" si="10"/>
        <v>191199.8</v>
      </c>
      <c r="L61" s="90">
        <f t="shared" si="9"/>
        <v>242215.383</v>
      </c>
      <c r="M61" s="70">
        <v>209</v>
      </c>
      <c r="N61" s="71">
        <f t="shared" si="11"/>
        <v>181639.81</v>
      </c>
      <c r="O61" s="72"/>
      <c r="P61" s="73">
        <f t="shared" si="12"/>
        <v>0</v>
      </c>
      <c r="Q61" s="70">
        <f t="shared" si="13"/>
        <v>209</v>
      </c>
      <c r="R61" s="74">
        <f t="shared" si="14"/>
        <v>181639.81</v>
      </c>
      <c r="S61" s="75">
        <f t="shared" si="15"/>
        <v>0.95000000000000007</v>
      </c>
      <c r="T61" s="76">
        <f t="shared" si="16"/>
        <v>11</v>
      </c>
      <c r="U61" s="77">
        <f t="shared" si="17"/>
        <v>9559.99</v>
      </c>
      <c r="V61" s="78">
        <f t="shared" si="18"/>
        <v>0.05</v>
      </c>
    </row>
    <row r="62" spans="2:22" s="5" customFormat="1" ht="24.15" customHeight="1" x14ac:dyDescent="0.35">
      <c r="B62" s="4"/>
      <c r="C62" s="38" t="s">
        <v>198</v>
      </c>
      <c r="D62" s="38" t="s">
        <v>193</v>
      </c>
      <c r="E62" s="39" t="s">
        <v>1013</v>
      </c>
      <c r="F62" s="40" t="s">
        <v>1014</v>
      </c>
      <c r="G62" s="41" t="s">
        <v>207</v>
      </c>
      <c r="H62" s="42">
        <v>226.6</v>
      </c>
      <c r="I62" s="42">
        <f>I61*1.03</f>
        <v>287.06099999999998</v>
      </c>
      <c r="J62" s="43">
        <v>1466.29</v>
      </c>
      <c r="K62" s="44">
        <f t="shared" si="10"/>
        <v>332261.31</v>
      </c>
      <c r="L62" s="90">
        <f t="shared" si="9"/>
        <v>420914.67368999997</v>
      </c>
      <c r="M62" s="70">
        <v>215.26999999999998</v>
      </c>
      <c r="N62" s="71">
        <f t="shared" si="11"/>
        <v>315648.24829999998</v>
      </c>
      <c r="O62" s="72"/>
      <c r="P62" s="73">
        <f t="shared" si="12"/>
        <v>0</v>
      </c>
      <c r="Q62" s="70">
        <f t="shared" si="13"/>
        <v>215.26999999999998</v>
      </c>
      <c r="R62" s="74">
        <f t="shared" si="14"/>
        <v>315648.24829999998</v>
      </c>
      <c r="S62" s="75">
        <f t="shared" si="15"/>
        <v>0.95000001143678148</v>
      </c>
      <c r="T62" s="76">
        <f t="shared" si="16"/>
        <v>11.330000000000013</v>
      </c>
      <c r="U62" s="77">
        <f t="shared" si="17"/>
        <v>16613.065700000017</v>
      </c>
      <c r="V62" s="78">
        <f t="shared" si="18"/>
        <v>5.0000000000000058E-2</v>
      </c>
    </row>
    <row r="63" spans="2:22" s="23" customFormat="1" ht="23" customHeight="1" x14ac:dyDescent="0.25">
      <c r="B63" s="22"/>
      <c r="D63" s="24" t="s">
        <v>27</v>
      </c>
      <c r="E63" s="36" t="s">
        <v>55</v>
      </c>
      <c r="F63" s="36" t="s">
        <v>246</v>
      </c>
      <c r="H63" s="23">
        <f>H62/H61</f>
        <v>1.03</v>
      </c>
      <c r="J63" s="26"/>
      <c r="K63" s="37">
        <f>SUM(K64:K76)</f>
        <v>89243.520000000004</v>
      </c>
      <c r="L63" s="37">
        <f>SUM(L64:L76)</f>
        <v>138932.38375000001</v>
      </c>
      <c r="N63" s="37">
        <f>SUM(N64:N76)</f>
        <v>89243.506750000015</v>
      </c>
      <c r="P63" s="37">
        <f>SUM(P64:P76)</f>
        <v>0</v>
      </c>
      <c r="R63" s="37">
        <f>SUM(R64:R76)</f>
        <v>89243.506750000015</v>
      </c>
      <c r="U63" s="37">
        <f>SUM(U64:U76)</f>
        <v>0</v>
      </c>
    </row>
    <row r="64" spans="2:22" s="5" customFormat="1" ht="24.15" customHeight="1" x14ac:dyDescent="0.35">
      <c r="B64" s="4"/>
      <c r="C64" s="28" t="s">
        <v>351</v>
      </c>
      <c r="D64" s="28" t="s">
        <v>32</v>
      </c>
      <c r="E64" s="29" t="s">
        <v>955</v>
      </c>
      <c r="F64" s="30" t="s">
        <v>956</v>
      </c>
      <c r="G64" s="31" t="s">
        <v>272</v>
      </c>
      <c r="H64" s="32">
        <v>2</v>
      </c>
      <c r="I64" s="32">
        <v>2</v>
      </c>
      <c r="J64" s="33">
        <v>869.09</v>
      </c>
      <c r="K64" s="34">
        <f>ROUND(J64*H64,2)</f>
        <v>1738.18</v>
      </c>
      <c r="L64" s="90">
        <f t="shared" si="9"/>
        <v>1738.18</v>
      </c>
      <c r="M64" s="70">
        <v>2</v>
      </c>
      <c r="N64" s="71">
        <f t="shared" ref="N64:N76" si="19">M64*J64</f>
        <v>1738.18</v>
      </c>
      <c r="O64" s="72"/>
      <c r="P64" s="73">
        <f t="shared" ref="P64:P76" si="20">O64*J64</f>
        <v>0</v>
      </c>
      <c r="Q64" s="70">
        <f t="shared" ref="Q64:Q76" si="21">O64+M64</f>
        <v>2</v>
      </c>
      <c r="R64" s="74">
        <f t="shared" ref="R64:R76" si="22">Q64*J64</f>
        <v>1738.18</v>
      </c>
      <c r="S64" s="75">
        <f t="shared" ref="S64:S76" si="23">R64/K64</f>
        <v>1</v>
      </c>
      <c r="T64" s="76">
        <f t="shared" ref="T64:T76" si="24">H64-Q64</f>
        <v>0</v>
      </c>
      <c r="U64" s="77">
        <f t="shared" ref="U64:U76" si="25">T64*J64</f>
        <v>0</v>
      </c>
      <c r="V64" s="78">
        <f t="shared" ref="V64:V76" si="26">T64/H64</f>
        <v>0</v>
      </c>
    </row>
    <row r="65" spans="2:22" s="5" customFormat="1" ht="24.15" customHeight="1" x14ac:dyDescent="0.35">
      <c r="B65" s="4"/>
      <c r="C65" s="38" t="s">
        <v>354</v>
      </c>
      <c r="D65" s="38" t="s">
        <v>193</v>
      </c>
      <c r="E65" s="39" t="s">
        <v>957</v>
      </c>
      <c r="F65" s="40" t="s">
        <v>958</v>
      </c>
      <c r="G65" s="41" t="s">
        <v>272</v>
      </c>
      <c r="H65" s="42">
        <v>1</v>
      </c>
      <c r="I65" s="42">
        <v>1</v>
      </c>
      <c r="J65" s="43">
        <v>1136.5</v>
      </c>
      <c r="K65" s="44">
        <f t="shared" ref="K65:K70" si="27">ROUND(J65*H65,2)</f>
        <v>1136.5</v>
      </c>
      <c r="L65" s="90">
        <f t="shared" si="9"/>
        <v>1136.5</v>
      </c>
      <c r="M65" s="70">
        <v>1</v>
      </c>
      <c r="N65" s="71">
        <f t="shared" si="19"/>
        <v>1136.5</v>
      </c>
      <c r="O65" s="72"/>
      <c r="P65" s="73">
        <f t="shared" si="20"/>
        <v>0</v>
      </c>
      <c r="Q65" s="70">
        <f t="shared" si="21"/>
        <v>1</v>
      </c>
      <c r="R65" s="74">
        <f t="shared" si="22"/>
        <v>1136.5</v>
      </c>
      <c r="S65" s="75">
        <f t="shared" si="23"/>
        <v>1</v>
      </c>
      <c r="T65" s="76">
        <f t="shared" si="24"/>
        <v>0</v>
      </c>
      <c r="U65" s="77">
        <f t="shared" si="25"/>
        <v>0</v>
      </c>
      <c r="V65" s="78">
        <f t="shared" si="26"/>
        <v>0</v>
      </c>
    </row>
    <row r="66" spans="2:22" s="5" customFormat="1" ht="16.5" customHeight="1" x14ac:dyDescent="0.35">
      <c r="B66" s="4"/>
      <c r="C66" s="38" t="s">
        <v>359</v>
      </c>
      <c r="D66" s="38" t="s">
        <v>193</v>
      </c>
      <c r="E66" s="39" t="s">
        <v>959</v>
      </c>
      <c r="F66" s="40" t="s">
        <v>960</v>
      </c>
      <c r="G66" s="41" t="s">
        <v>272</v>
      </c>
      <c r="H66" s="42">
        <v>1</v>
      </c>
      <c r="I66" s="42">
        <v>1</v>
      </c>
      <c r="J66" s="43">
        <v>735.38</v>
      </c>
      <c r="K66" s="44">
        <f t="shared" si="27"/>
        <v>735.38</v>
      </c>
      <c r="L66" s="90">
        <f t="shared" si="9"/>
        <v>735.38</v>
      </c>
      <c r="M66" s="70">
        <v>1</v>
      </c>
      <c r="N66" s="71">
        <f t="shared" si="19"/>
        <v>735.38</v>
      </c>
      <c r="O66" s="72"/>
      <c r="P66" s="73">
        <f t="shared" si="20"/>
        <v>0</v>
      </c>
      <c r="Q66" s="70">
        <f t="shared" si="21"/>
        <v>1</v>
      </c>
      <c r="R66" s="74">
        <f t="shared" si="22"/>
        <v>735.38</v>
      </c>
      <c r="S66" s="75">
        <f t="shared" si="23"/>
        <v>1</v>
      </c>
      <c r="T66" s="76">
        <f t="shared" si="24"/>
        <v>0</v>
      </c>
      <c r="U66" s="77">
        <f t="shared" si="25"/>
        <v>0</v>
      </c>
      <c r="V66" s="78">
        <f t="shared" si="26"/>
        <v>0</v>
      </c>
    </row>
    <row r="67" spans="2:22" s="5" customFormat="1" ht="24.15" customHeight="1" x14ac:dyDescent="0.35">
      <c r="B67" s="4"/>
      <c r="C67" s="28" t="s">
        <v>362</v>
      </c>
      <c r="D67" s="28" t="s">
        <v>32</v>
      </c>
      <c r="E67" s="29" t="s">
        <v>969</v>
      </c>
      <c r="F67" s="30" t="s">
        <v>970</v>
      </c>
      <c r="G67" s="31" t="s">
        <v>272</v>
      </c>
      <c r="H67" s="32">
        <v>1</v>
      </c>
      <c r="I67" s="32">
        <v>1</v>
      </c>
      <c r="J67" s="33">
        <v>1738.18</v>
      </c>
      <c r="K67" s="34">
        <f t="shared" si="27"/>
        <v>1738.18</v>
      </c>
      <c r="L67" s="90">
        <f t="shared" si="9"/>
        <v>1738.18</v>
      </c>
      <c r="M67" s="70">
        <v>1</v>
      </c>
      <c r="N67" s="71">
        <f t="shared" si="19"/>
        <v>1738.18</v>
      </c>
      <c r="O67" s="72"/>
      <c r="P67" s="73">
        <f t="shared" si="20"/>
        <v>0</v>
      </c>
      <c r="Q67" s="70">
        <f t="shared" si="21"/>
        <v>1</v>
      </c>
      <c r="R67" s="74">
        <f t="shared" si="22"/>
        <v>1738.18</v>
      </c>
      <c r="S67" s="75">
        <f t="shared" si="23"/>
        <v>1</v>
      </c>
      <c r="T67" s="76">
        <f t="shared" si="24"/>
        <v>0</v>
      </c>
      <c r="U67" s="77">
        <f t="shared" si="25"/>
        <v>0</v>
      </c>
      <c r="V67" s="78">
        <f t="shared" si="26"/>
        <v>0</v>
      </c>
    </row>
    <row r="68" spans="2:22" s="5" customFormat="1" ht="21.75" customHeight="1" x14ac:dyDescent="0.35">
      <c r="B68" s="4"/>
      <c r="C68" s="38" t="s">
        <v>367</v>
      </c>
      <c r="D68" s="38" t="s">
        <v>193</v>
      </c>
      <c r="E68" s="39" t="s">
        <v>971</v>
      </c>
      <c r="F68" s="40" t="s">
        <v>972</v>
      </c>
      <c r="G68" s="41" t="s">
        <v>272</v>
      </c>
      <c r="H68" s="42">
        <v>1</v>
      </c>
      <c r="I68" s="42">
        <v>1</v>
      </c>
      <c r="J68" s="43">
        <v>561.55999999999995</v>
      </c>
      <c r="K68" s="44">
        <f t="shared" si="27"/>
        <v>561.55999999999995</v>
      </c>
      <c r="L68" s="90">
        <f t="shared" si="9"/>
        <v>561.55999999999995</v>
      </c>
      <c r="M68" s="70">
        <v>1</v>
      </c>
      <c r="N68" s="71">
        <f t="shared" si="19"/>
        <v>561.55999999999995</v>
      </c>
      <c r="O68" s="72"/>
      <c r="P68" s="73">
        <f t="shared" si="20"/>
        <v>0</v>
      </c>
      <c r="Q68" s="70">
        <f t="shared" si="21"/>
        <v>1</v>
      </c>
      <c r="R68" s="74">
        <f t="shared" si="22"/>
        <v>561.55999999999995</v>
      </c>
      <c r="S68" s="75">
        <f t="shared" si="23"/>
        <v>1</v>
      </c>
      <c r="T68" s="76">
        <f t="shared" si="24"/>
        <v>0</v>
      </c>
      <c r="U68" s="77">
        <f t="shared" si="25"/>
        <v>0</v>
      </c>
      <c r="V68" s="78">
        <f t="shared" si="26"/>
        <v>0</v>
      </c>
    </row>
    <row r="69" spans="2:22" s="5" customFormat="1" ht="24.15" customHeight="1" x14ac:dyDescent="0.35">
      <c r="B69" s="4"/>
      <c r="C69" s="28" t="s">
        <v>368</v>
      </c>
      <c r="D69" s="28" t="s">
        <v>32</v>
      </c>
      <c r="E69" s="29" t="s">
        <v>1028</v>
      </c>
      <c r="F69" s="30" t="s">
        <v>1029</v>
      </c>
      <c r="G69" s="31" t="s">
        <v>120</v>
      </c>
      <c r="H69" s="32">
        <v>31.5</v>
      </c>
      <c r="I69" s="32">
        <f>31.5+9.3</f>
        <v>40.799999999999997</v>
      </c>
      <c r="J69" s="33">
        <v>387.75</v>
      </c>
      <c r="K69" s="34">
        <f t="shared" si="27"/>
        <v>12214.13</v>
      </c>
      <c r="L69" s="90">
        <f t="shared" si="9"/>
        <v>15820.199999999999</v>
      </c>
      <c r="M69" s="70">
        <v>31.5</v>
      </c>
      <c r="N69" s="71">
        <f t="shared" si="19"/>
        <v>12214.125</v>
      </c>
      <c r="O69" s="72"/>
      <c r="P69" s="73">
        <f t="shared" si="20"/>
        <v>0</v>
      </c>
      <c r="Q69" s="70">
        <f t="shared" si="21"/>
        <v>31.5</v>
      </c>
      <c r="R69" s="74">
        <f t="shared" si="22"/>
        <v>12214.125</v>
      </c>
      <c r="S69" s="75">
        <f t="shared" si="23"/>
        <v>0.9999995906380561</v>
      </c>
      <c r="T69" s="76">
        <f t="shared" si="24"/>
        <v>0</v>
      </c>
      <c r="U69" s="77">
        <f t="shared" si="25"/>
        <v>0</v>
      </c>
      <c r="V69" s="78">
        <f t="shared" si="26"/>
        <v>0</v>
      </c>
    </row>
    <row r="70" spans="2:22" s="5" customFormat="1" ht="16.5" customHeight="1" x14ac:dyDescent="0.35">
      <c r="B70" s="4"/>
      <c r="C70" s="38" t="s">
        <v>371</v>
      </c>
      <c r="D70" s="38" t="s">
        <v>193</v>
      </c>
      <c r="E70" s="39" t="s">
        <v>1030</v>
      </c>
      <c r="F70" s="40" t="s">
        <v>1031</v>
      </c>
      <c r="G70" s="41" t="s">
        <v>207</v>
      </c>
      <c r="H70" s="42">
        <v>3.15</v>
      </c>
      <c r="I70" s="42">
        <f>3.15+9.3</f>
        <v>12.450000000000001</v>
      </c>
      <c r="J70" s="43">
        <v>676.55</v>
      </c>
      <c r="K70" s="44">
        <f t="shared" si="27"/>
        <v>2131.13</v>
      </c>
      <c r="L70" s="90">
        <f t="shared" si="9"/>
        <v>8423.0475000000006</v>
      </c>
      <c r="M70" s="70">
        <v>3.15</v>
      </c>
      <c r="N70" s="71">
        <f t="shared" si="19"/>
        <v>2131.1324999999997</v>
      </c>
      <c r="O70" s="72"/>
      <c r="P70" s="73">
        <f t="shared" si="20"/>
        <v>0</v>
      </c>
      <c r="Q70" s="70">
        <f t="shared" si="21"/>
        <v>3.15</v>
      </c>
      <c r="R70" s="74">
        <f t="shared" si="22"/>
        <v>2131.1324999999997</v>
      </c>
      <c r="S70" s="75">
        <f t="shared" si="23"/>
        <v>1.0000011730865783</v>
      </c>
      <c r="T70" s="76">
        <f t="shared" si="24"/>
        <v>0</v>
      </c>
      <c r="U70" s="77">
        <f t="shared" si="25"/>
        <v>0</v>
      </c>
      <c r="V70" s="78">
        <f t="shared" si="26"/>
        <v>0</v>
      </c>
    </row>
    <row r="71" spans="2:22" s="5" customFormat="1" ht="33" customHeight="1" x14ac:dyDescent="0.35">
      <c r="B71" s="4"/>
      <c r="C71" s="28" t="s">
        <v>374</v>
      </c>
      <c r="D71" s="28" t="s">
        <v>32</v>
      </c>
      <c r="E71" s="29" t="s">
        <v>973</v>
      </c>
      <c r="F71" s="30" t="s">
        <v>974</v>
      </c>
      <c r="G71" s="31" t="s">
        <v>120</v>
      </c>
      <c r="H71" s="32">
        <v>48</v>
      </c>
      <c r="I71" s="32">
        <v>48</v>
      </c>
      <c r="J71" s="33">
        <v>467.97</v>
      </c>
      <c r="K71" s="34">
        <f t="shared" ref="K71:K76" si="28">ROUND(J71*H71,2)</f>
        <v>22462.560000000001</v>
      </c>
      <c r="L71" s="90">
        <f t="shared" si="9"/>
        <v>22462.560000000001</v>
      </c>
      <c r="M71" s="70">
        <v>48</v>
      </c>
      <c r="N71" s="71">
        <f t="shared" si="19"/>
        <v>22462.560000000001</v>
      </c>
      <c r="O71" s="72"/>
      <c r="P71" s="73">
        <f t="shared" si="20"/>
        <v>0</v>
      </c>
      <c r="Q71" s="70">
        <f t="shared" si="21"/>
        <v>48</v>
      </c>
      <c r="R71" s="74">
        <f t="shared" si="22"/>
        <v>22462.560000000001</v>
      </c>
      <c r="S71" s="75">
        <f t="shared" si="23"/>
        <v>1</v>
      </c>
      <c r="T71" s="76">
        <f t="shared" si="24"/>
        <v>0</v>
      </c>
      <c r="U71" s="77">
        <f t="shared" si="25"/>
        <v>0</v>
      </c>
      <c r="V71" s="78">
        <f t="shared" si="26"/>
        <v>0</v>
      </c>
    </row>
    <row r="72" spans="2:22" s="5" customFormat="1" ht="16.5" customHeight="1" x14ac:dyDescent="0.35">
      <c r="B72" s="4"/>
      <c r="C72" s="38" t="s">
        <v>375</v>
      </c>
      <c r="D72" s="38" t="s">
        <v>193</v>
      </c>
      <c r="E72" s="39" t="s">
        <v>977</v>
      </c>
      <c r="F72" s="40" t="s">
        <v>978</v>
      </c>
      <c r="G72" s="41" t="s">
        <v>120</v>
      </c>
      <c r="H72" s="42">
        <v>52.8</v>
      </c>
      <c r="I72" s="42">
        <v>52.8</v>
      </c>
      <c r="J72" s="43">
        <v>145.07</v>
      </c>
      <c r="K72" s="44">
        <f t="shared" si="28"/>
        <v>7659.7</v>
      </c>
      <c r="L72" s="90">
        <f t="shared" si="9"/>
        <v>7659.695999999999</v>
      </c>
      <c r="M72" s="70">
        <v>52.8</v>
      </c>
      <c r="N72" s="71">
        <f t="shared" si="19"/>
        <v>7659.695999999999</v>
      </c>
      <c r="O72" s="72"/>
      <c r="P72" s="73">
        <f t="shared" si="20"/>
        <v>0</v>
      </c>
      <c r="Q72" s="70">
        <f t="shared" si="21"/>
        <v>52.8</v>
      </c>
      <c r="R72" s="74">
        <f t="shared" si="22"/>
        <v>7659.695999999999</v>
      </c>
      <c r="S72" s="75">
        <f t="shared" si="23"/>
        <v>0.99999947778633613</v>
      </c>
      <c r="T72" s="76">
        <f t="shared" si="24"/>
        <v>0</v>
      </c>
      <c r="U72" s="77">
        <f t="shared" si="25"/>
        <v>0</v>
      </c>
      <c r="V72" s="78">
        <f t="shared" si="26"/>
        <v>0</v>
      </c>
    </row>
    <row r="73" spans="2:22" s="5" customFormat="1" ht="24.15" customHeight="1" x14ac:dyDescent="0.35">
      <c r="B73" s="4"/>
      <c r="C73" s="28" t="s">
        <v>378</v>
      </c>
      <c r="D73" s="28" t="s">
        <v>32</v>
      </c>
      <c r="E73" s="29" t="s">
        <v>979</v>
      </c>
      <c r="F73" s="30" t="s">
        <v>980</v>
      </c>
      <c r="G73" s="31" t="s">
        <v>120</v>
      </c>
      <c r="H73" s="32">
        <v>39</v>
      </c>
      <c r="I73" s="32">
        <v>39</v>
      </c>
      <c r="J73" s="33">
        <v>454.6</v>
      </c>
      <c r="K73" s="34">
        <f t="shared" si="28"/>
        <v>17729.400000000001</v>
      </c>
      <c r="L73" s="90">
        <f t="shared" si="9"/>
        <v>17729.400000000001</v>
      </c>
      <c r="M73" s="70">
        <v>39</v>
      </c>
      <c r="N73" s="71">
        <f t="shared" si="19"/>
        <v>17729.400000000001</v>
      </c>
      <c r="O73" s="72"/>
      <c r="P73" s="73">
        <f t="shared" si="20"/>
        <v>0</v>
      </c>
      <c r="Q73" s="70">
        <f t="shared" si="21"/>
        <v>39</v>
      </c>
      <c r="R73" s="74">
        <f t="shared" si="22"/>
        <v>17729.400000000001</v>
      </c>
      <c r="S73" s="75">
        <f t="shared" si="23"/>
        <v>1</v>
      </c>
      <c r="T73" s="76">
        <f t="shared" si="24"/>
        <v>0</v>
      </c>
      <c r="U73" s="77">
        <f t="shared" si="25"/>
        <v>0</v>
      </c>
      <c r="V73" s="78">
        <f t="shared" si="26"/>
        <v>0</v>
      </c>
    </row>
    <row r="74" spans="2:22" s="5" customFormat="1" ht="16.5" customHeight="1" x14ac:dyDescent="0.35">
      <c r="B74" s="4"/>
      <c r="C74" s="38" t="s">
        <v>381</v>
      </c>
      <c r="D74" s="38" t="s">
        <v>193</v>
      </c>
      <c r="E74" s="39" t="s">
        <v>981</v>
      </c>
      <c r="F74" s="40" t="s">
        <v>982</v>
      </c>
      <c r="G74" s="41" t="s">
        <v>120</v>
      </c>
      <c r="H74" s="42">
        <v>42.9</v>
      </c>
      <c r="I74" s="42">
        <v>42.9</v>
      </c>
      <c r="J74" s="43">
        <v>76.209999999999994</v>
      </c>
      <c r="K74" s="44">
        <f t="shared" si="28"/>
        <v>3269.41</v>
      </c>
      <c r="L74" s="90">
        <f t="shared" si="9"/>
        <v>3269.4089999999997</v>
      </c>
      <c r="M74" s="70">
        <v>42.9</v>
      </c>
      <c r="N74" s="71">
        <f t="shared" si="19"/>
        <v>3269.4089999999997</v>
      </c>
      <c r="O74" s="72"/>
      <c r="P74" s="73">
        <f t="shared" si="20"/>
        <v>0</v>
      </c>
      <c r="Q74" s="70">
        <f t="shared" si="21"/>
        <v>42.9</v>
      </c>
      <c r="R74" s="74">
        <f t="shared" si="22"/>
        <v>3269.4089999999997</v>
      </c>
      <c r="S74" s="75">
        <f t="shared" si="23"/>
        <v>0.99999969413441558</v>
      </c>
      <c r="T74" s="76">
        <f t="shared" si="24"/>
        <v>0</v>
      </c>
      <c r="U74" s="77">
        <f t="shared" si="25"/>
        <v>0</v>
      </c>
      <c r="V74" s="78">
        <f t="shared" si="26"/>
        <v>0</v>
      </c>
    </row>
    <row r="75" spans="2:22" s="5" customFormat="1" ht="24.15" customHeight="1" x14ac:dyDescent="0.35">
      <c r="B75" s="4"/>
      <c r="C75" s="28" t="s">
        <v>269</v>
      </c>
      <c r="D75" s="28" t="s">
        <v>32</v>
      </c>
      <c r="E75" s="29" t="s">
        <v>983</v>
      </c>
      <c r="F75" s="30" t="s">
        <v>984</v>
      </c>
      <c r="G75" s="31" t="s">
        <v>214</v>
      </c>
      <c r="H75" s="32">
        <v>3.5550000000000002</v>
      </c>
      <c r="I75" s="32">
        <f>3.555+9.3</f>
        <v>12.855</v>
      </c>
      <c r="J75" s="33">
        <v>4278.59</v>
      </c>
      <c r="K75" s="34">
        <f t="shared" si="28"/>
        <v>15210.39</v>
      </c>
      <c r="L75" s="90">
        <f t="shared" si="9"/>
        <v>55001.274450000004</v>
      </c>
      <c r="M75" s="70">
        <v>3.5550000000000006</v>
      </c>
      <c r="N75" s="71">
        <f t="shared" si="19"/>
        <v>15210.387450000004</v>
      </c>
      <c r="O75" s="72"/>
      <c r="P75" s="73">
        <f t="shared" si="20"/>
        <v>0</v>
      </c>
      <c r="Q75" s="70">
        <f t="shared" si="21"/>
        <v>3.5550000000000006</v>
      </c>
      <c r="R75" s="74">
        <f t="shared" si="22"/>
        <v>15210.387450000004</v>
      </c>
      <c r="S75" s="75">
        <f t="shared" si="23"/>
        <v>0.99999983235143897</v>
      </c>
      <c r="T75" s="76">
        <f t="shared" si="24"/>
        <v>0</v>
      </c>
      <c r="U75" s="77">
        <f t="shared" si="25"/>
        <v>0</v>
      </c>
      <c r="V75" s="78">
        <f t="shared" si="26"/>
        <v>0</v>
      </c>
    </row>
    <row r="76" spans="2:22" s="5" customFormat="1" ht="24.15" customHeight="1" x14ac:dyDescent="0.35">
      <c r="B76" s="4"/>
      <c r="C76" s="28" t="s">
        <v>382</v>
      </c>
      <c r="D76" s="28" t="s">
        <v>32</v>
      </c>
      <c r="E76" s="29" t="s">
        <v>1032</v>
      </c>
      <c r="F76" s="30" t="s">
        <v>1033</v>
      </c>
      <c r="G76" s="31" t="s">
        <v>214</v>
      </c>
      <c r="H76" s="32">
        <v>2.2080000000000002</v>
      </c>
      <c r="I76" s="32">
        <v>2.2080000000000002</v>
      </c>
      <c r="J76" s="33">
        <v>1203.3499999999999</v>
      </c>
      <c r="K76" s="34">
        <f t="shared" si="28"/>
        <v>2657</v>
      </c>
      <c r="L76" s="90">
        <f t="shared" si="9"/>
        <v>2656.9967999999999</v>
      </c>
      <c r="M76" s="70">
        <v>2.2080000000000002</v>
      </c>
      <c r="N76" s="71">
        <f t="shared" si="19"/>
        <v>2656.9967999999999</v>
      </c>
      <c r="O76" s="72"/>
      <c r="P76" s="73">
        <f t="shared" si="20"/>
        <v>0</v>
      </c>
      <c r="Q76" s="70">
        <f t="shared" si="21"/>
        <v>2.2080000000000002</v>
      </c>
      <c r="R76" s="74">
        <f t="shared" si="22"/>
        <v>2656.9967999999999</v>
      </c>
      <c r="S76" s="75">
        <f t="shared" si="23"/>
        <v>0.99999879563417382</v>
      </c>
      <c r="T76" s="76">
        <f t="shared" si="24"/>
        <v>0</v>
      </c>
      <c r="U76" s="77">
        <f t="shared" si="25"/>
        <v>0</v>
      </c>
      <c r="V76" s="78">
        <f t="shared" si="26"/>
        <v>0</v>
      </c>
    </row>
    <row r="77" spans="2:22" s="23" customFormat="1" ht="23" customHeight="1" x14ac:dyDescent="0.25">
      <c r="B77" s="22"/>
      <c r="D77" s="24" t="s">
        <v>27</v>
      </c>
      <c r="E77" s="36" t="s">
        <v>251</v>
      </c>
      <c r="F77" s="36" t="s">
        <v>252</v>
      </c>
      <c r="J77" s="26"/>
      <c r="K77" s="37">
        <f>SUM(K78:K80)</f>
        <v>31458.260000000002</v>
      </c>
      <c r="L77" s="37">
        <f>SUM(L78:L80)</f>
        <v>31458.264300000003</v>
      </c>
      <c r="N77" s="37">
        <f>SUM(N78:N80)</f>
        <v>29885.351085000002</v>
      </c>
      <c r="P77" s="37">
        <f>SUM(P78:P80)</f>
        <v>0</v>
      </c>
      <c r="R77" s="37">
        <f>SUM(R78:R80)</f>
        <v>29885.351085000002</v>
      </c>
      <c r="U77" s="37">
        <f>SUM(U78:U80)</f>
        <v>1572.9132150000005</v>
      </c>
    </row>
    <row r="78" spans="2:22" s="5" customFormat="1" ht="21.75" customHeight="1" x14ac:dyDescent="0.35">
      <c r="B78" s="4"/>
      <c r="C78" s="28" t="s">
        <v>383</v>
      </c>
      <c r="D78" s="28" t="s">
        <v>32</v>
      </c>
      <c r="E78" s="29" t="s">
        <v>253</v>
      </c>
      <c r="F78" s="30" t="s">
        <v>254</v>
      </c>
      <c r="G78" s="31" t="s">
        <v>223</v>
      </c>
      <c r="H78" s="32">
        <v>110.438</v>
      </c>
      <c r="I78" s="32">
        <v>110.438</v>
      </c>
      <c r="J78" s="33">
        <v>127.02</v>
      </c>
      <c r="K78" s="34">
        <f>ROUND(J78*H78,2)</f>
        <v>14027.83</v>
      </c>
      <c r="L78" s="90">
        <f t="shared" si="9"/>
        <v>14027.83476</v>
      </c>
      <c r="M78" s="70">
        <v>104.9161</v>
      </c>
      <c r="N78" s="71">
        <f>M78*J78</f>
        <v>13326.443021999999</v>
      </c>
      <c r="O78" s="72"/>
      <c r="P78" s="73">
        <f>O78*J78</f>
        <v>0</v>
      </c>
      <c r="Q78" s="70">
        <f>O78+M78</f>
        <v>104.9161</v>
      </c>
      <c r="R78" s="74">
        <f>Q78*J78</f>
        <v>13326.443021999999</v>
      </c>
      <c r="S78" s="75">
        <f>R78/K78</f>
        <v>0.95000032235919596</v>
      </c>
      <c r="T78" s="76">
        <f>H78-Q78</f>
        <v>5.5219000000000023</v>
      </c>
      <c r="U78" s="77">
        <f>T78*J78</f>
        <v>701.39173800000026</v>
      </c>
      <c r="V78" s="78">
        <f>T78/H78</f>
        <v>5.0000000000000017E-2</v>
      </c>
    </row>
    <row r="79" spans="2:22" s="5" customFormat="1" ht="24.15" customHeight="1" x14ac:dyDescent="0.35">
      <c r="B79" s="4"/>
      <c r="C79" s="28" t="s">
        <v>384</v>
      </c>
      <c r="D79" s="28" t="s">
        <v>32</v>
      </c>
      <c r="E79" s="29" t="s">
        <v>255</v>
      </c>
      <c r="F79" s="30" t="s">
        <v>256</v>
      </c>
      <c r="G79" s="31" t="s">
        <v>223</v>
      </c>
      <c r="H79" s="32">
        <v>2098.3220000000001</v>
      </c>
      <c r="I79" s="32">
        <v>2098.3220000000001</v>
      </c>
      <c r="J79" s="33">
        <v>1.34</v>
      </c>
      <c r="K79" s="34">
        <f>ROUND(J79*H79,2)</f>
        <v>2811.75</v>
      </c>
      <c r="L79" s="90">
        <f t="shared" si="9"/>
        <v>2811.7514800000004</v>
      </c>
      <c r="M79" s="70">
        <v>1993.4059000000002</v>
      </c>
      <c r="N79" s="71">
        <f>M79*J79</f>
        <v>2671.1639060000002</v>
      </c>
      <c r="O79" s="72"/>
      <c r="P79" s="73">
        <f>O79*J79</f>
        <v>0</v>
      </c>
      <c r="Q79" s="70">
        <f>O79+M79</f>
        <v>1993.4059000000002</v>
      </c>
      <c r="R79" s="74">
        <f>Q79*J79</f>
        <v>2671.1639060000002</v>
      </c>
      <c r="S79" s="75">
        <f>R79/K79</f>
        <v>0.95000050004445635</v>
      </c>
      <c r="T79" s="76">
        <f>H79-Q79</f>
        <v>104.91609999999991</v>
      </c>
      <c r="U79" s="77">
        <f>T79*J79</f>
        <v>140.5875739999999</v>
      </c>
      <c r="V79" s="78">
        <f>T79/H79</f>
        <v>4.9999999999999954E-2</v>
      </c>
    </row>
    <row r="80" spans="2:22" s="5" customFormat="1" ht="16.5" customHeight="1" x14ac:dyDescent="0.35">
      <c r="B80" s="4"/>
      <c r="C80" s="28" t="s">
        <v>385</v>
      </c>
      <c r="D80" s="28" t="s">
        <v>32</v>
      </c>
      <c r="E80" s="29" t="s">
        <v>993</v>
      </c>
      <c r="F80" s="30" t="s">
        <v>994</v>
      </c>
      <c r="G80" s="31" t="s">
        <v>223</v>
      </c>
      <c r="H80" s="32">
        <v>110.438</v>
      </c>
      <c r="I80" s="32">
        <v>110.438</v>
      </c>
      <c r="J80" s="33">
        <v>132.37</v>
      </c>
      <c r="K80" s="34">
        <f>ROUND(J80*H80,2)</f>
        <v>14618.68</v>
      </c>
      <c r="L80" s="90">
        <f t="shared" si="9"/>
        <v>14618.67806</v>
      </c>
      <c r="M80" s="70">
        <v>104.9161</v>
      </c>
      <c r="N80" s="71">
        <f>M80*J80</f>
        <v>13887.744157000001</v>
      </c>
      <c r="O80" s="72"/>
      <c r="P80" s="73">
        <f>O80*J80</f>
        <v>0</v>
      </c>
      <c r="Q80" s="70">
        <f>O80+M80</f>
        <v>104.9161</v>
      </c>
      <c r="R80" s="74">
        <f>Q80*J80</f>
        <v>13887.744157000001</v>
      </c>
      <c r="S80" s="75">
        <f>R80/K80</f>
        <v>0.94999987392842589</v>
      </c>
      <c r="T80" s="76">
        <f>H80-Q80</f>
        <v>5.5219000000000023</v>
      </c>
      <c r="U80" s="77">
        <f>T80*J80</f>
        <v>730.93390300000033</v>
      </c>
      <c r="V80" s="78">
        <f>T80/H80</f>
        <v>5.0000000000000017E-2</v>
      </c>
    </row>
    <row r="81" spans="2:22" s="23" customFormat="1" ht="23" customHeight="1" x14ac:dyDescent="0.25">
      <c r="B81" s="22"/>
      <c r="D81" s="24" t="s">
        <v>27</v>
      </c>
      <c r="E81" s="36" t="s">
        <v>259</v>
      </c>
      <c r="F81" s="36" t="s">
        <v>260</v>
      </c>
      <c r="J81" s="26"/>
      <c r="K81" s="37">
        <f>SUM(K82)</f>
        <v>1636.15</v>
      </c>
      <c r="L81" s="37">
        <f>SUM(L82)</f>
        <v>14313.587750000001</v>
      </c>
      <c r="N81" s="37">
        <f>SUM(N82)</f>
        <v>1014.1144999999999</v>
      </c>
      <c r="P81" s="37">
        <f>SUM(P82)</f>
        <v>0</v>
      </c>
      <c r="R81" s="37">
        <f>SUM(R82)</f>
        <v>1014.1144999999999</v>
      </c>
      <c r="U81" s="37">
        <f>SUM(U82)</f>
        <v>622.03925000000004</v>
      </c>
    </row>
    <row r="82" spans="2:22" s="5" customFormat="1" ht="24.15" customHeight="1" x14ac:dyDescent="0.35">
      <c r="B82" s="4"/>
      <c r="C82" s="28" t="s">
        <v>386</v>
      </c>
      <c r="D82" s="28" t="s">
        <v>32</v>
      </c>
      <c r="E82" s="29" t="s">
        <v>261</v>
      </c>
      <c r="F82" s="30" t="s">
        <v>262</v>
      </c>
      <c r="G82" s="31" t="s">
        <v>223</v>
      </c>
      <c r="H82" s="32">
        <v>122.375</v>
      </c>
      <c r="I82" s="32">
        <f>122.375+946+2.2</f>
        <v>1070.575</v>
      </c>
      <c r="J82" s="33">
        <v>13.37</v>
      </c>
      <c r="K82" s="34">
        <f>ROUND(J82*H82,2)</f>
        <v>1636.15</v>
      </c>
      <c r="L82" s="90">
        <f t="shared" si="9"/>
        <v>14313.587750000001</v>
      </c>
      <c r="M82" s="70">
        <v>75.849999999999994</v>
      </c>
      <c r="N82" s="71">
        <f>M82*J82</f>
        <v>1014.1144999999999</v>
      </c>
      <c r="O82" s="72"/>
      <c r="P82" s="73">
        <f>O82*J82</f>
        <v>0</v>
      </c>
      <c r="Q82" s="70">
        <f>O82+M82</f>
        <v>75.849999999999994</v>
      </c>
      <c r="R82" s="74">
        <f>Q82*J82</f>
        <v>1014.1144999999999</v>
      </c>
      <c r="S82" s="75">
        <f>R82/K82</f>
        <v>0.61981755951471429</v>
      </c>
      <c r="T82" s="76">
        <f>H82-Q82</f>
        <v>46.525000000000006</v>
      </c>
      <c r="U82" s="77">
        <f>T82*J82</f>
        <v>622.03925000000004</v>
      </c>
      <c r="V82" s="78">
        <f>T82/H82</f>
        <v>0.38018386108273755</v>
      </c>
    </row>
    <row r="83" spans="2:22" s="5" customFormat="1" ht="6.9" customHeight="1" x14ac:dyDescent="0.35">
      <c r="B83" s="11"/>
      <c r="C83" s="12"/>
      <c r="D83" s="12"/>
      <c r="E83" s="12"/>
      <c r="F83" s="12"/>
      <c r="G83" s="12"/>
      <c r="H83" s="12"/>
      <c r="I83" s="12"/>
      <c r="J83" s="12"/>
      <c r="K83" s="12"/>
    </row>
    <row r="84" spans="2:22" s="23" customFormat="1" ht="23" customHeight="1" x14ac:dyDescent="0.25">
      <c r="B84" s="22"/>
      <c r="D84" s="24"/>
      <c r="E84" s="36"/>
      <c r="F84" s="36" t="s">
        <v>1080</v>
      </c>
      <c r="J84" s="26"/>
      <c r="K84" s="37"/>
      <c r="L84" s="37"/>
      <c r="N84" s="37"/>
      <c r="P84" s="37"/>
      <c r="R84" s="37"/>
      <c r="U84" s="37"/>
    </row>
    <row r="85" spans="2:22" s="23" customFormat="1" ht="23" customHeight="1" x14ac:dyDescent="0.25">
      <c r="B85" s="22"/>
      <c r="D85" s="24"/>
      <c r="E85" s="36"/>
      <c r="F85" s="36" t="s">
        <v>907</v>
      </c>
      <c r="J85" s="26"/>
      <c r="K85" s="37"/>
      <c r="L85" s="37">
        <f>SUM(L86:L87)</f>
        <v>21415.485000000001</v>
      </c>
      <c r="N85" s="37"/>
      <c r="P85" s="37"/>
      <c r="R85" s="37"/>
      <c r="U85" s="37"/>
    </row>
    <row r="86" spans="2:22" s="5" customFormat="1" ht="24.15" customHeight="1" x14ac:dyDescent="0.35">
      <c r="B86" s="4"/>
      <c r="C86" s="28"/>
      <c r="D86" s="28"/>
      <c r="E86" s="29" t="s">
        <v>1141</v>
      </c>
      <c r="F86" s="30" t="s">
        <v>1142</v>
      </c>
      <c r="G86" s="31" t="s">
        <v>207</v>
      </c>
      <c r="H86" s="32"/>
      <c r="I86" s="32">
        <v>525</v>
      </c>
      <c r="J86" s="33">
        <v>18.100000000000001</v>
      </c>
      <c r="K86" s="34">
        <f>ROUND(J86*H86,2)</f>
        <v>0</v>
      </c>
      <c r="L86" s="90">
        <f>I86*J86</f>
        <v>9502.5</v>
      </c>
      <c r="M86" s="70"/>
      <c r="N86" s="71"/>
      <c r="O86" s="72"/>
      <c r="P86" s="73"/>
      <c r="Q86" s="70"/>
      <c r="R86" s="74"/>
      <c r="S86" s="75"/>
      <c r="T86" s="76"/>
      <c r="U86" s="77"/>
      <c r="V86" s="78"/>
    </row>
    <row r="87" spans="2:22" s="5" customFormat="1" ht="24.15" customHeight="1" x14ac:dyDescent="0.35">
      <c r="B87" s="4"/>
      <c r="C87" s="28"/>
      <c r="D87" s="28"/>
      <c r="E87" s="29" t="s">
        <v>912</v>
      </c>
      <c r="F87" s="30" t="s">
        <v>913</v>
      </c>
      <c r="G87" s="31" t="s">
        <v>207</v>
      </c>
      <c r="H87" s="32"/>
      <c r="I87" s="32">
        <v>619.5</v>
      </c>
      <c r="J87" s="33">
        <v>19.23</v>
      </c>
      <c r="K87" s="34">
        <f>ROUND(J87*H87,2)</f>
        <v>0</v>
      </c>
      <c r="L87" s="90">
        <f>I87*J87</f>
        <v>11912.985000000001</v>
      </c>
      <c r="M87" s="70"/>
      <c r="N87" s="71"/>
      <c r="O87" s="72"/>
      <c r="P87" s="73"/>
      <c r="Q87" s="70"/>
      <c r="R87" s="74"/>
      <c r="S87" s="75"/>
      <c r="T87" s="76"/>
      <c r="U87" s="77"/>
      <c r="V87" s="78"/>
    </row>
    <row r="88" spans="2:22" s="23" customFormat="1" ht="23" customHeight="1" x14ac:dyDescent="0.25">
      <c r="B88" s="22"/>
      <c r="D88" s="24"/>
      <c r="E88" s="36" t="s">
        <v>30</v>
      </c>
      <c r="F88" s="36" t="s">
        <v>233</v>
      </c>
      <c r="J88" s="26"/>
      <c r="K88" s="37"/>
      <c r="L88" s="37">
        <f>SUM(L89:L93)</f>
        <v>181380.62999999998</v>
      </c>
      <c r="N88" s="37"/>
      <c r="P88" s="37"/>
      <c r="R88" s="37"/>
      <c r="U88" s="37"/>
    </row>
    <row r="89" spans="2:22" s="5" customFormat="1" ht="24.15" customHeight="1" x14ac:dyDescent="0.35">
      <c r="B89" s="4"/>
      <c r="C89" s="28"/>
      <c r="D89" s="28"/>
      <c r="E89" s="29">
        <v>564911511</v>
      </c>
      <c r="F89" s="30" t="s">
        <v>1143</v>
      </c>
      <c r="G89" s="31" t="s">
        <v>207</v>
      </c>
      <c r="H89" s="32"/>
      <c r="I89" s="32">
        <v>525</v>
      </c>
      <c r="J89" s="33">
        <v>50.2</v>
      </c>
      <c r="K89" s="34">
        <f>ROUND(J89*H89,2)</f>
        <v>0</v>
      </c>
      <c r="L89" s="90">
        <f>I89*J89</f>
        <v>26355</v>
      </c>
      <c r="M89" s="70"/>
      <c r="N89" s="71"/>
      <c r="O89" s="72"/>
      <c r="P89" s="73"/>
      <c r="Q89" s="70"/>
      <c r="R89" s="74"/>
      <c r="S89" s="75"/>
      <c r="T89" s="76"/>
      <c r="U89" s="77"/>
      <c r="V89" s="78"/>
    </row>
    <row r="90" spans="2:22" s="5" customFormat="1" ht="24.15" customHeight="1" x14ac:dyDescent="0.35">
      <c r="B90" s="4"/>
      <c r="C90" s="28"/>
      <c r="D90" s="28"/>
      <c r="E90" s="29">
        <v>564931512</v>
      </c>
      <c r="F90" s="30" t="s">
        <v>1144</v>
      </c>
      <c r="G90" s="31" t="s">
        <v>207</v>
      </c>
      <c r="H90" s="32"/>
      <c r="I90" s="32">
        <v>1574</v>
      </c>
      <c r="J90" s="33">
        <v>86.5</v>
      </c>
      <c r="K90" s="34">
        <f>ROUND(J90*H90,2)</f>
        <v>0</v>
      </c>
      <c r="L90" s="90">
        <f>I90*J90</f>
        <v>136151</v>
      </c>
      <c r="M90" s="70"/>
      <c r="N90" s="71"/>
      <c r="O90" s="72"/>
      <c r="P90" s="73"/>
      <c r="Q90" s="70"/>
      <c r="R90" s="74"/>
      <c r="S90" s="75"/>
      <c r="T90" s="76"/>
      <c r="U90" s="77"/>
      <c r="V90" s="78"/>
    </row>
    <row r="91" spans="2:22" s="5" customFormat="1" ht="24.15" customHeight="1" x14ac:dyDescent="0.35">
      <c r="B91" s="4"/>
      <c r="C91" s="28"/>
      <c r="D91" s="28"/>
      <c r="E91" s="29"/>
      <c r="F91" s="30" t="s">
        <v>1145</v>
      </c>
      <c r="G91" s="31" t="s">
        <v>73</v>
      </c>
      <c r="H91" s="32"/>
      <c r="I91" s="32">
        <v>3</v>
      </c>
      <c r="J91" s="33">
        <v>5120.3</v>
      </c>
      <c r="K91" s="34">
        <f>ROUND(J91*H91,2)</f>
        <v>0</v>
      </c>
      <c r="L91" s="90">
        <f>I91*J91</f>
        <v>15360.900000000001</v>
      </c>
      <c r="M91" s="70"/>
      <c r="N91" s="71"/>
      <c r="O91" s="72"/>
      <c r="P91" s="73"/>
      <c r="Q91" s="70"/>
      <c r="R91" s="74"/>
      <c r="S91" s="75"/>
      <c r="T91" s="76"/>
      <c r="U91" s="77"/>
      <c r="V91" s="78"/>
    </row>
    <row r="92" spans="2:22" s="5" customFormat="1" ht="24.15" customHeight="1" x14ac:dyDescent="0.35">
      <c r="B92" s="4"/>
      <c r="C92" s="28"/>
      <c r="D92" s="28"/>
      <c r="E92" s="29" t="s">
        <v>941</v>
      </c>
      <c r="F92" s="30" t="s">
        <v>942</v>
      </c>
      <c r="G92" s="31" t="s">
        <v>207</v>
      </c>
      <c r="H92" s="32"/>
      <c r="I92" s="32">
        <v>3.4000000000000004</v>
      </c>
      <c r="J92" s="33">
        <v>676.55</v>
      </c>
      <c r="K92" s="34">
        <f>ROUND(J92*H92,2)</f>
        <v>0</v>
      </c>
      <c r="L92" s="90">
        <f>I92*J92</f>
        <v>2300.27</v>
      </c>
      <c r="M92" s="70"/>
      <c r="N92" s="71"/>
      <c r="O92" s="72"/>
      <c r="P92" s="73"/>
      <c r="Q92" s="70"/>
      <c r="R92" s="74"/>
      <c r="S92" s="75"/>
      <c r="T92" s="76"/>
      <c r="U92" s="77"/>
      <c r="V92" s="78"/>
    </row>
    <row r="93" spans="2:22" s="5" customFormat="1" ht="24.15" customHeight="1" x14ac:dyDescent="0.35">
      <c r="B93" s="4"/>
      <c r="C93" s="28"/>
      <c r="D93" s="28"/>
      <c r="E93" s="29"/>
      <c r="F93" s="30" t="s">
        <v>1146</v>
      </c>
      <c r="G93" s="31" t="s">
        <v>207</v>
      </c>
      <c r="H93" s="32"/>
      <c r="I93" s="32">
        <v>3.4000000000000004</v>
      </c>
      <c r="J93" s="33">
        <v>356.9</v>
      </c>
      <c r="K93" s="34">
        <f>ROUND(J93*H93,2)</f>
        <v>0</v>
      </c>
      <c r="L93" s="90">
        <f>I93*J93</f>
        <v>1213.46</v>
      </c>
      <c r="M93" s="70"/>
      <c r="N93" s="71"/>
      <c r="O93" s="72"/>
      <c r="P93" s="73"/>
      <c r="Q93" s="70"/>
      <c r="R93" s="74"/>
      <c r="S93" s="75"/>
      <c r="T93" s="76"/>
      <c r="U93" s="77"/>
      <c r="V93" s="78"/>
    </row>
    <row r="94" spans="2:22" s="23" customFormat="1" ht="23" customHeight="1" x14ac:dyDescent="0.25">
      <c r="B94" s="22"/>
      <c r="D94" s="24"/>
      <c r="E94" s="36" t="s">
        <v>55</v>
      </c>
      <c r="F94" s="36" t="s">
        <v>246</v>
      </c>
      <c r="J94" s="26"/>
      <c r="K94" s="37"/>
      <c r="L94" s="37">
        <f>SUM(L95:L96)</f>
        <v>35062.059000000001</v>
      </c>
      <c r="N94" s="37"/>
      <c r="P94" s="37"/>
      <c r="R94" s="37"/>
      <c r="U94" s="37"/>
    </row>
    <row r="95" spans="2:22" s="5" customFormat="1" ht="24.15" customHeight="1" x14ac:dyDescent="0.35">
      <c r="B95" s="4"/>
      <c r="C95" s="28"/>
      <c r="D95" s="28"/>
      <c r="E95" s="29" t="s">
        <v>983</v>
      </c>
      <c r="F95" s="30" t="s">
        <v>984</v>
      </c>
      <c r="G95" s="31" t="s">
        <v>214</v>
      </c>
      <c r="H95" s="32"/>
      <c r="I95" s="32">
        <v>2.9</v>
      </c>
      <c r="J95" s="33">
        <v>4278.71</v>
      </c>
      <c r="K95" s="34">
        <f>ROUND(J95*H95,2)</f>
        <v>0</v>
      </c>
      <c r="L95" s="90">
        <f>I95*J95</f>
        <v>12408.259</v>
      </c>
      <c r="M95" s="70"/>
      <c r="N95" s="71"/>
      <c r="O95" s="72"/>
      <c r="P95" s="73"/>
      <c r="Q95" s="70"/>
      <c r="R95" s="74"/>
      <c r="S95" s="75"/>
      <c r="T95" s="76"/>
      <c r="U95" s="77"/>
      <c r="V95" s="78"/>
    </row>
    <row r="96" spans="2:22" s="5" customFormat="1" ht="24.15" customHeight="1" x14ac:dyDescent="0.35">
      <c r="B96" s="4"/>
      <c r="C96" s="28"/>
      <c r="D96" s="28"/>
      <c r="E96" s="29"/>
      <c r="F96" s="30" t="s">
        <v>1157</v>
      </c>
      <c r="G96" s="31" t="s">
        <v>272</v>
      </c>
      <c r="H96" s="32"/>
      <c r="I96" s="32">
        <v>2</v>
      </c>
      <c r="J96" s="33">
        <v>11326.9</v>
      </c>
      <c r="K96" s="34">
        <v>0</v>
      </c>
      <c r="L96" s="90">
        <f>I96*J96</f>
        <v>22653.8</v>
      </c>
      <c r="M96" s="70"/>
      <c r="N96" s="71"/>
      <c r="O96" s="72"/>
      <c r="P96" s="73"/>
      <c r="Q96" s="70"/>
      <c r="R96" s="74"/>
      <c r="S96" s="75"/>
      <c r="T96" s="76"/>
      <c r="U96" s="77"/>
      <c r="V96" s="78"/>
    </row>
    <row r="97" spans="5:12" x14ac:dyDescent="0.35">
      <c r="F97" s="94" t="s">
        <v>1163</v>
      </c>
      <c r="G97" s="95" t="s">
        <v>35</v>
      </c>
      <c r="I97" s="96">
        <v>1</v>
      </c>
      <c r="J97" s="97">
        <v>24620</v>
      </c>
      <c r="K97">
        <v>0</v>
      </c>
      <c r="L97" s="90">
        <f>I97*J97</f>
        <v>24620</v>
      </c>
    </row>
    <row r="98" spans="5:12" x14ac:dyDescent="0.35">
      <c r="E98" t="s">
        <v>1147</v>
      </c>
      <c r="F98" t="s">
        <v>1149</v>
      </c>
    </row>
    <row r="99" spans="5:12" x14ac:dyDescent="0.35">
      <c r="F99" t="s">
        <v>1150</v>
      </c>
    </row>
    <row r="100" spans="5:12" x14ac:dyDescent="0.35">
      <c r="F100" t="s">
        <v>1156</v>
      </c>
    </row>
    <row r="101" spans="5:12" x14ac:dyDescent="0.35">
      <c r="F101" t="s">
        <v>1165</v>
      </c>
    </row>
  </sheetData>
  <autoFilter ref="K1:K279" xr:uid="{193E21D8-98E0-48AE-896E-31BD7F2BC733}"/>
  <mergeCells count="7">
    <mergeCell ref="E6:H6"/>
    <mergeCell ref="M16:N16"/>
    <mergeCell ref="O16:P16"/>
    <mergeCell ref="Q16:S16"/>
    <mergeCell ref="T16:V16"/>
    <mergeCell ref="E8:H8"/>
    <mergeCell ref="E10:H10"/>
  </mergeCells>
  <pageMargins left="0.70866141732283472" right="0.70866141732283472" top="0.78740157480314965" bottom="0.78740157480314965" header="0.31496062992125984" footer="0.31496062992125984"/>
  <pageSetup paperSize="9" scale="67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5CD8-1072-4282-8F8B-03EA000A62F7}">
  <sheetPr>
    <pageSetUpPr fitToPage="1"/>
  </sheetPr>
  <dimension ref="B2:Z104"/>
  <sheetViews>
    <sheetView view="pageBreakPreview" topLeftCell="B65" zoomScaleNormal="100" zoomScaleSheetLayoutView="100" workbookViewId="0">
      <selection activeCell="I111" sqref="I111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10" width="11.453125" customWidth="1"/>
    <col min="11" max="11" width="13" customWidth="1"/>
    <col min="12" max="14" width="14.7265625" customWidth="1"/>
    <col min="16" max="16" width="13.7265625" customWidth="1"/>
    <col min="17" max="17" width="9.81640625" bestFit="1" customWidth="1"/>
    <col min="18" max="18" width="12.453125" customWidth="1"/>
    <col min="20" max="20" width="12.6328125" customWidth="1"/>
    <col min="23" max="23" width="12" customWidth="1"/>
  </cols>
  <sheetData>
    <row r="2" spans="2:24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24" s="5" customFormat="1" ht="24.9" customHeight="1" x14ac:dyDescent="0.35">
      <c r="B3" s="4"/>
      <c r="C3" s="2" t="s">
        <v>18</v>
      </c>
    </row>
    <row r="4" spans="2:24" s="5" customFormat="1" ht="6.9" customHeight="1" x14ac:dyDescent="0.35">
      <c r="B4" s="4"/>
    </row>
    <row r="5" spans="2:24" s="5" customFormat="1" ht="12" customHeight="1" x14ac:dyDescent="0.35">
      <c r="B5" s="4"/>
      <c r="C5" s="3" t="s">
        <v>1</v>
      </c>
    </row>
    <row r="6" spans="2:24" s="5" customFormat="1" ht="16.5" customHeight="1" x14ac:dyDescent="0.35">
      <c r="B6" s="4"/>
      <c r="E6" s="177" t="s">
        <v>1034</v>
      </c>
      <c r="F6" s="178"/>
      <c r="G6" s="178"/>
      <c r="H6" s="178"/>
      <c r="I6" s="3"/>
      <c r="J6" s="3"/>
    </row>
    <row r="7" spans="2:24" ht="12" customHeight="1" x14ac:dyDescent="0.35">
      <c r="B7" s="1"/>
      <c r="C7" s="3" t="s">
        <v>2</v>
      </c>
    </row>
    <row r="8" spans="2:24" s="5" customFormat="1" ht="16.5" customHeight="1" x14ac:dyDescent="0.35">
      <c r="B8" s="4"/>
      <c r="E8" s="177" t="s">
        <v>263</v>
      </c>
      <c r="F8" s="183"/>
      <c r="G8" s="183"/>
      <c r="H8" s="183"/>
    </row>
    <row r="9" spans="2:24" s="5" customFormat="1" ht="12" customHeight="1" x14ac:dyDescent="0.35">
      <c r="B9" s="4"/>
      <c r="C9" s="3" t="s">
        <v>4</v>
      </c>
    </row>
    <row r="10" spans="2:24" s="5" customFormat="1" ht="16.5" customHeight="1" x14ac:dyDescent="0.35">
      <c r="B10" s="4"/>
      <c r="E10" s="169" t="s">
        <v>914</v>
      </c>
      <c r="F10" s="183"/>
      <c r="G10" s="183"/>
      <c r="H10" s="183"/>
    </row>
    <row r="11" spans="2:24" s="5" customFormat="1" ht="6.9" customHeight="1" x14ac:dyDescent="0.35">
      <c r="B11" s="4"/>
    </row>
    <row r="12" spans="2:24" s="5" customFormat="1" ht="12" customHeight="1" x14ac:dyDescent="0.35">
      <c r="B12" s="4"/>
      <c r="C12" s="3" t="s">
        <v>7</v>
      </c>
      <c r="F12" s="6" t="s">
        <v>8</v>
      </c>
      <c r="K12" s="3" t="s">
        <v>9</v>
      </c>
      <c r="L12" s="7" t="s">
        <v>1035</v>
      </c>
      <c r="M12" s="7"/>
      <c r="N12" s="7"/>
    </row>
    <row r="13" spans="2:24" s="5" customFormat="1" ht="6.9" customHeight="1" x14ac:dyDescent="0.35">
      <c r="B13" s="4"/>
    </row>
    <row r="14" spans="2:24" s="5" customFormat="1" ht="15.15" customHeight="1" x14ac:dyDescent="0.35">
      <c r="B14" s="4"/>
      <c r="C14" s="3" t="s">
        <v>10</v>
      </c>
      <c r="F14" s="6" t="s">
        <v>11</v>
      </c>
      <c r="K14" s="3" t="s">
        <v>13</v>
      </c>
      <c r="L14" s="8" t="s">
        <v>14</v>
      </c>
      <c r="M14" s="8"/>
      <c r="N14" s="8"/>
    </row>
    <row r="15" spans="2:24" s="5" customFormat="1" ht="15.15" customHeight="1" thickBot="1" x14ac:dyDescent="0.4">
      <c r="B15" s="4"/>
      <c r="C15" s="3" t="s">
        <v>12</v>
      </c>
      <c r="F15" s="6" t="s">
        <v>1036</v>
      </c>
      <c r="K15" s="3" t="s">
        <v>15</v>
      </c>
      <c r="L15" s="8" t="s">
        <v>8</v>
      </c>
      <c r="M15" s="8"/>
      <c r="N15" s="8"/>
    </row>
    <row r="16" spans="2:24" s="5" customFormat="1" ht="31" customHeight="1" thickBot="1" x14ac:dyDescent="0.4">
      <c r="B16" s="4"/>
      <c r="O16" s="179" t="s">
        <v>1064</v>
      </c>
      <c r="P16" s="180"/>
      <c r="Q16" s="179" t="s">
        <v>1068</v>
      </c>
      <c r="R16" s="180"/>
      <c r="S16" s="179" t="s">
        <v>1066</v>
      </c>
      <c r="T16" s="181"/>
      <c r="U16" s="180"/>
      <c r="V16" s="179" t="s">
        <v>1067</v>
      </c>
      <c r="W16" s="181"/>
      <c r="X16" s="182"/>
    </row>
    <row r="17" spans="2:26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24</v>
      </c>
      <c r="I17" s="17" t="s">
        <v>1075</v>
      </c>
      <c r="J17" s="17" t="s">
        <v>1122</v>
      </c>
      <c r="K17" s="17" t="s">
        <v>25</v>
      </c>
      <c r="L17" s="18" t="s">
        <v>17</v>
      </c>
      <c r="M17" s="18" t="s">
        <v>1076</v>
      </c>
      <c r="N17" s="138"/>
      <c r="O17" s="57" t="s">
        <v>1069</v>
      </c>
      <c r="P17" s="58" t="s">
        <v>1070</v>
      </c>
      <c r="Q17" s="57" t="s">
        <v>1069</v>
      </c>
      <c r="R17" s="59" t="s">
        <v>1070</v>
      </c>
      <c r="S17" s="57" t="s">
        <v>1069</v>
      </c>
      <c r="T17" s="58" t="s">
        <v>1070</v>
      </c>
      <c r="U17" s="59" t="s">
        <v>1071</v>
      </c>
      <c r="V17" s="60" t="s">
        <v>1069</v>
      </c>
      <c r="W17" s="58" t="s">
        <v>1070</v>
      </c>
      <c r="X17" s="61" t="s">
        <v>1071</v>
      </c>
    </row>
    <row r="18" spans="2:26" s="5" customFormat="1" ht="23" customHeight="1" x14ac:dyDescent="0.35">
      <c r="B18" s="4"/>
      <c r="C18" s="20" t="s">
        <v>26</v>
      </c>
      <c r="L18" s="21">
        <f>L19</f>
        <v>2682791.65</v>
      </c>
      <c r="M18" s="21">
        <f>M19</f>
        <v>2632798.6654300005</v>
      </c>
      <c r="N18" s="21">
        <f>N19</f>
        <v>3290664.3150900011</v>
      </c>
      <c r="O18" s="4"/>
      <c r="P18" s="62">
        <f>P19</f>
        <v>2526444.8392805001</v>
      </c>
      <c r="Q18" s="63"/>
      <c r="R18" s="62">
        <f>R19</f>
        <v>0</v>
      </c>
      <c r="S18" s="64"/>
      <c r="T18" s="62">
        <f>T19</f>
        <v>2526444.8392805001</v>
      </c>
      <c r="U18" s="64"/>
      <c r="V18" s="63"/>
      <c r="W18" s="62">
        <f>W19</f>
        <v>116642.50494950003</v>
      </c>
    </row>
    <row r="19" spans="2:26" s="23" customFormat="1" ht="26" customHeight="1" x14ac:dyDescent="0.35">
      <c r="B19" s="22"/>
      <c r="D19" s="24" t="s">
        <v>27</v>
      </c>
      <c r="E19" s="25" t="s">
        <v>202</v>
      </c>
      <c r="F19" s="25" t="s">
        <v>203</v>
      </c>
      <c r="K19" s="26"/>
      <c r="L19" s="27">
        <f>SUM(L20,L41,L57,L76,L82,L84)</f>
        <v>2682791.65</v>
      </c>
      <c r="M19" s="27">
        <f>SUM(M20,M41,M57,M76,M82,M84)</f>
        <v>2632798.6654300005</v>
      </c>
      <c r="N19" s="27">
        <f>SUM(N20,N41,N57,N76,N82,N84,N87,N92,N95,N98)</f>
        <v>3290664.3150900011</v>
      </c>
      <c r="O19" s="65"/>
      <c r="P19" s="66">
        <f>SUM(P20,P41,P48,P52,P57,P63,P76,P82,P84)</f>
        <v>2526444.8392805001</v>
      </c>
      <c r="Q19" s="67"/>
      <c r="R19" s="66">
        <f>SUM(R20,R41,R48,R52,R57,R63,R76,R82,R84)</f>
        <v>0</v>
      </c>
      <c r="S19" s="68"/>
      <c r="T19" s="66">
        <f>SUM(T20,T41,T48,T52,T57,T63,T76,T82,T84)</f>
        <v>2526444.8392805001</v>
      </c>
      <c r="U19" s="68"/>
      <c r="V19" s="67"/>
      <c r="W19" s="66">
        <f>SUM(W20,W41,W48,W52,W57,W63,W76,W82,W84)</f>
        <v>116642.50494950003</v>
      </c>
      <c r="X19" s="69"/>
    </row>
    <row r="20" spans="2:26" s="23" customFormat="1" ht="23" customHeight="1" x14ac:dyDescent="0.25">
      <c r="B20" s="22"/>
      <c r="D20" s="24" t="s">
        <v>27</v>
      </c>
      <c r="E20" s="36" t="s">
        <v>31</v>
      </c>
      <c r="F20" s="36" t="s">
        <v>204</v>
      </c>
      <c r="K20" s="26"/>
      <c r="L20" s="37">
        <f>SUM(L21:L40)</f>
        <v>251610.48</v>
      </c>
      <c r="M20" s="37">
        <f>SUM(M21:M40)</f>
        <v>262885.78253999999</v>
      </c>
      <c r="N20" s="37">
        <f>SUM(N21:N40)</f>
        <v>592129.64281000011</v>
      </c>
      <c r="O20" s="65"/>
      <c r="P20" s="37">
        <f>SUM(P21:P40)</f>
        <v>261022.38924000002</v>
      </c>
      <c r="Q20" s="67"/>
      <c r="R20" s="37">
        <f>SUM(R21:R40)</f>
        <v>0</v>
      </c>
      <c r="S20" s="68"/>
      <c r="T20" s="37">
        <f>SUM(T21:T40)</f>
        <v>261022.38924000002</v>
      </c>
      <c r="U20" s="68"/>
      <c r="V20" s="67"/>
      <c r="W20" s="37">
        <f>SUM(W21:W40)</f>
        <v>1863.3933000000002</v>
      </c>
      <c r="X20" s="69"/>
      <c r="Z20" s="135">
        <f>M20-T20-W20</f>
        <v>-3.3196556614711881E-11</v>
      </c>
    </row>
    <row r="21" spans="2:26" s="5" customFormat="1" ht="24.15" customHeight="1" x14ac:dyDescent="0.35">
      <c r="B21" s="4"/>
      <c r="C21" s="28" t="s">
        <v>31</v>
      </c>
      <c r="D21" s="28" t="s">
        <v>32</v>
      </c>
      <c r="E21" s="29" t="s">
        <v>915</v>
      </c>
      <c r="F21" s="30" t="s">
        <v>916</v>
      </c>
      <c r="G21" s="31" t="s">
        <v>207</v>
      </c>
      <c r="H21" s="32">
        <v>75</v>
      </c>
      <c r="I21" s="32">
        <v>75</v>
      </c>
      <c r="J21" s="32">
        <v>75</v>
      </c>
      <c r="K21" s="33">
        <v>33.43</v>
      </c>
      <c r="L21" s="34">
        <f t="shared" ref="L21:L40" si="0">ROUND(K21*H21,2)</f>
        <v>2507.25</v>
      </c>
      <c r="M21" s="90">
        <f>I21*K21</f>
        <v>2507.25</v>
      </c>
      <c r="N21" s="90">
        <f>J21*K21</f>
        <v>2507.25</v>
      </c>
      <c r="O21" s="70">
        <v>75</v>
      </c>
      <c r="P21" s="71">
        <f t="shared" ref="P21:P40" si="1">O21*K21</f>
        <v>2507.25</v>
      </c>
      <c r="Q21" s="72"/>
      <c r="R21" s="73">
        <f>Q21*K21</f>
        <v>0</v>
      </c>
      <c r="S21" s="70">
        <f>Q21+O21</f>
        <v>75</v>
      </c>
      <c r="T21" s="74">
        <f>S21*K21</f>
        <v>2507.25</v>
      </c>
      <c r="U21" s="75">
        <f>T21/M21</f>
        <v>1</v>
      </c>
      <c r="V21" s="76">
        <f>I21-S21</f>
        <v>0</v>
      </c>
      <c r="W21" s="77">
        <f>V21*K21</f>
        <v>0</v>
      </c>
      <c r="X21" s="78">
        <f>V21/I21</f>
        <v>0</v>
      </c>
    </row>
    <row r="22" spans="2:26" s="5" customFormat="1" ht="24.15" customHeight="1" x14ac:dyDescent="0.35">
      <c r="B22" s="4"/>
      <c r="C22" s="28" t="s">
        <v>0</v>
      </c>
      <c r="D22" s="28" t="s">
        <v>32</v>
      </c>
      <c r="E22" s="29" t="s">
        <v>917</v>
      </c>
      <c r="F22" s="30" t="s">
        <v>918</v>
      </c>
      <c r="G22" s="31" t="s">
        <v>207</v>
      </c>
      <c r="H22" s="32">
        <v>69</v>
      </c>
      <c r="I22" s="32">
        <v>69</v>
      </c>
      <c r="J22" s="32">
        <v>69</v>
      </c>
      <c r="K22" s="33">
        <v>33.43</v>
      </c>
      <c r="L22" s="34">
        <f t="shared" si="0"/>
        <v>2306.67</v>
      </c>
      <c r="M22" s="90">
        <f t="shared" ref="M22:M83" si="2">I22*K22</f>
        <v>2306.67</v>
      </c>
      <c r="N22" s="90">
        <f t="shared" ref="N22:N85" si="3">J22*K22</f>
        <v>2306.67</v>
      </c>
      <c r="O22" s="70">
        <v>69</v>
      </c>
      <c r="P22" s="71">
        <f t="shared" si="1"/>
        <v>2306.67</v>
      </c>
      <c r="Q22" s="72"/>
      <c r="R22" s="73">
        <f t="shared" ref="R22:R83" si="4">Q22*K22</f>
        <v>0</v>
      </c>
      <c r="S22" s="70">
        <f t="shared" ref="S22:S40" si="5">Q22+O22</f>
        <v>69</v>
      </c>
      <c r="T22" s="74">
        <f t="shared" ref="T22:T40" si="6">S22*K22</f>
        <v>2306.67</v>
      </c>
      <c r="U22" s="75">
        <f t="shared" ref="U22:U40" si="7">T22/M22</f>
        <v>1</v>
      </c>
      <c r="V22" s="76">
        <f t="shared" ref="V22:V40" si="8">I22-S22</f>
        <v>0</v>
      </c>
      <c r="W22" s="77">
        <f t="shared" ref="W22:W40" si="9">V22*K22</f>
        <v>0</v>
      </c>
      <c r="X22" s="78">
        <f t="shared" ref="X22:X40" si="10">V22/I22</f>
        <v>0</v>
      </c>
    </row>
    <row r="23" spans="2:26" s="5" customFormat="1" ht="24.15" customHeight="1" x14ac:dyDescent="0.35">
      <c r="B23" s="4"/>
      <c r="C23" s="28" t="s">
        <v>38</v>
      </c>
      <c r="D23" s="28" t="s">
        <v>32</v>
      </c>
      <c r="E23" s="29" t="s">
        <v>919</v>
      </c>
      <c r="F23" s="30" t="s">
        <v>920</v>
      </c>
      <c r="G23" s="31" t="s">
        <v>207</v>
      </c>
      <c r="H23" s="32">
        <v>22.832999999999998</v>
      </c>
      <c r="I23" s="32">
        <v>22.832999999999998</v>
      </c>
      <c r="J23" s="32">
        <v>22.832999999999998</v>
      </c>
      <c r="K23" s="33">
        <v>240.67</v>
      </c>
      <c r="L23" s="34">
        <f t="shared" si="0"/>
        <v>5495.22</v>
      </c>
      <c r="M23" s="90">
        <f t="shared" si="2"/>
        <v>5495.2181099999989</v>
      </c>
      <c r="N23" s="90">
        <f t="shared" si="3"/>
        <v>5495.2181099999989</v>
      </c>
      <c r="O23" s="70">
        <v>22.832999999999998</v>
      </c>
      <c r="P23" s="71">
        <f t="shared" si="1"/>
        <v>5495.2181099999989</v>
      </c>
      <c r="Q23" s="72"/>
      <c r="R23" s="73">
        <f t="shared" si="4"/>
        <v>0</v>
      </c>
      <c r="S23" s="70">
        <f t="shared" si="5"/>
        <v>22.832999999999998</v>
      </c>
      <c r="T23" s="74">
        <f t="shared" si="6"/>
        <v>5495.2181099999989</v>
      </c>
      <c r="U23" s="75">
        <f t="shared" si="7"/>
        <v>1</v>
      </c>
      <c r="V23" s="76">
        <f t="shared" si="8"/>
        <v>0</v>
      </c>
      <c r="W23" s="77">
        <f t="shared" si="9"/>
        <v>0</v>
      </c>
      <c r="X23" s="78">
        <f t="shared" si="10"/>
        <v>0</v>
      </c>
    </row>
    <row r="24" spans="2:26" s="5" customFormat="1" ht="24.15" customHeight="1" x14ac:dyDescent="0.35">
      <c r="B24" s="4"/>
      <c r="C24" s="28" t="s">
        <v>41</v>
      </c>
      <c r="D24" s="28" t="s">
        <v>32</v>
      </c>
      <c r="E24" s="29" t="s">
        <v>205</v>
      </c>
      <c r="F24" s="30" t="s">
        <v>206</v>
      </c>
      <c r="G24" s="31" t="s">
        <v>207</v>
      </c>
      <c r="H24" s="32">
        <v>68.400000000000006</v>
      </c>
      <c r="I24" s="32">
        <v>68.400000000000006</v>
      </c>
      <c r="J24" s="32">
        <v>68.400000000000006</v>
      </c>
      <c r="K24" s="33">
        <v>347.64</v>
      </c>
      <c r="L24" s="34">
        <f t="shared" si="0"/>
        <v>23778.58</v>
      </c>
      <c r="M24" s="90">
        <f t="shared" si="2"/>
        <v>23778.576000000001</v>
      </c>
      <c r="N24" s="90">
        <f t="shared" si="3"/>
        <v>23778.576000000001</v>
      </c>
      <c r="O24" s="70">
        <v>68.400000000000006</v>
      </c>
      <c r="P24" s="71">
        <f t="shared" si="1"/>
        <v>23778.576000000001</v>
      </c>
      <c r="Q24" s="72"/>
      <c r="R24" s="73">
        <f t="shared" si="4"/>
        <v>0</v>
      </c>
      <c r="S24" s="70">
        <f t="shared" si="5"/>
        <v>68.400000000000006</v>
      </c>
      <c r="T24" s="74">
        <f t="shared" si="6"/>
        <v>23778.576000000001</v>
      </c>
      <c r="U24" s="75">
        <f t="shared" si="7"/>
        <v>1</v>
      </c>
      <c r="V24" s="76">
        <f t="shared" si="8"/>
        <v>0</v>
      </c>
      <c r="W24" s="77">
        <f t="shared" si="9"/>
        <v>0</v>
      </c>
      <c r="X24" s="78">
        <f t="shared" si="10"/>
        <v>0</v>
      </c>
    </row>
    <row r="25" spans="2:26" s="5" customFormat="1" ht="33" customHeight="1" x14ac:dyDescent="0.35">
      <c r="B25" s="4"/>
      <c r="C25" s="28" t="s">
        <v>30</v>
      </c>
      <c r="D25" s="28" t="s">
        <v>32</v>
      </c>
      <c r="E25" s="29" t="s">
        <v>921</v>
      </c>
      <c r="F25" s="30" t="s">
        <v>922</v>
      </c>
      <c r="G25" s="31" t="s">
        <v>207</v>
      </c>
      <c r="H25" s="32">
        <v>53.276000000000003</v>
      </c>
      <c r="I25" s="32">
        <v>53.276000000000003</v>
      </c>
      <c r="J25" s="32">
        <v>53.276000000000003</v>
      </c>
      <c r="K25" s="33">
        <v>32.090000000000003</v>
      </c>
      <c r="L25" s="34">
        <f t="shared" si="0"/>
        <v>1709.63</v>
      </c>
      <c r="M25" s="90">
        <f t="shared" si="2"/>
        <v>1709.6268400000004</v>
      </c>
      <c r="N25" s="90">
        <f t="shared" si="3"/>
        <v>1709.6268400000004</v>
      </c>
      <c r="O25" s="70">
        <v>53.276000000000003</v>
      </c>
      <c r="P25" s="71">
        <f t="shared" si="1"/>
        <v>1709.6268400000004</v>
      </c>
      <c r="Q25" s="72"/>
      <c r="R25" s="73">
        <f t="shared" si="4"/>
        <v>0</v>
      </c>
      <c r="S25" s="70">
        <f t="shared" si="5"/>
        <v>53.276000000000003</v>
      </c>
      <c r="T25" s="74">
        <f t="shared" si="6"/>
        <v>1709.6268400000004</v>
      </c>
      <c r="U25" s="75">
        <f t="shared" si="7"/>
        <v>1</v>
      </c>
      <c r="V25" s="76">
        <f t="shared" si="8"/>
        <v>0</v>
      </c>
      <c r="W25" s="77">
        <f t="shared" si="9"/>
        <v>0</v>
      </c>
      <c r="X25" s="78">
        <f t="shared" si="10"/>
        <v>0</v>
      </c>
    </row>
    <row r="26" spans="2:26" s="5" customFormat="1" ht="24.15" customHeight="1" x14ac:dyDescent="0.35">
      <c r="B26" s="4"/>
      <c r="C26" s="28" t="s">
        <v>46</v>
      </c>
      <c r="D26" s="28" t="s">
        <v>32</v>
      </c>
      <c r="E26" s="29" t="s">
        <v>208</v>
      </c>
      <c r="F26" s="30" t="s">
        <v>209</v>
      </c>
      <c r="G26" s="31" t="s">
        <v>207</v>
      </c>
      <c r="H26" s="32">
        <v>159.6</v>
      </c>
      <c r="I26" s="32">
        <v>223.44</v>
      </c>
      <c r="J26" s="32">
        <f>223.44+1041.56</f>
        <v>1265</v>
      </c>
      <c r="K26" s="33">
        <v>64.180000000000007</v>
      </c>
      <c r="L26" s="34">
        <f t="shared" si="0"/>
        <v>10243.129999999999</v>
      </c>
      <c r="M26" s="90">
        <f t="shared" si="2"/>
        <v>14340.379200000001</v>
      </c>
      <c r="N26" s="90">
        <f t="shared" si="3"/>
        <v>81187.700000000012</v>
      </c>
      <c r="O26" s="70">
        <v>223.44</v>
      </c>
      <c r="P26" s="71">
        <f t="shared" si="1"/>
        <v>14340.379200000001</v>
      </c>
      <c r="Q26" s="72"/>
      <c r="R26" s="73">
        <f t="shared" si="4"/>
        <v>0</v>
      </c>
      <c r="S26" s="70">
        <f t="shared" si="5"/>
        <v>223.44</v>
      </c>
      <c r="T26" s="74">
        <f t="shared" si="6"/>
        <v>14340.379200000001</v>
      </c>
      <c r="U26" s="75">
        <f t="shared" si="7"/>
        <v>1</v>
      </c>
      <c r="V26" s="76">
        <f t="shared" si="8"/>
        <v>0</v>
      </c>
      <c r="W26" s="77">
        <f t="shared" si="9"/>
        <v>0</v>
      </c>
      <c r="X26" s="78">
        <f t="shared" si="10"/>
        <v>0</v>
      </c>
    </row>
    <row r="27" spans="2:26" s="5" customFormat="1" ht="33" customHeight="1" x14ac:dyDescent="0.35">
      <c r="B27" s="4"/>
      <c r="C27" s="28" t="s">
        <v>49</v>
      </c>
      <c r="D27" s="28" t="s">
        <v>32</v>
      </c>
      <c r="E27" s="29" t="s">
        <v>210</v>
      </c>
      <c r="F27" s="30" t="s">
        <v>211</v>
      </c>
      <c r="G27" s="31" t="s">
        <v>207</v>
      </c>
      <c r="H27" s="32">
        <v>1037</v>
      </c>
      <c r="I27" s="32">
        <v>1265</v>
      </c>
      <c r="J27" s="32">
        <v>1265</v>
      </c>
      <c r="K27" s="33">
        <v>44.12</v>
      </c>
      <c r="L27" s="34">
        <f t="shared" si="0"/>
        <v>45752.44</v>
      </c>
      <c r="M27" s="90">
        <f t="shared" si="2"/>
        <v>55811.799999999996</v>
      </c>
      <c r="N27" s="90">
        <f t="shared" si="3"/>
        <v>55811.799999999996</v>
      </c>
      <c r="O27" s="70">
        <v>1265</v>
      </c>
      <c r="P27" s="71">
        <f t="shared" si="1"/>
        <v>55811.799999999996</v>
      </c>
      <c r="Q27" s="72"/>
      <c r="R27" s="73">
        <f t="shared" si="4"/>
        <v>0</v>
      </c>
      <c r="S27" s="70">
        <f t="shared" si="5"/>
        <v>1265</v>
      </c>
      <c r="T27" s="74">
        <f t="shared" si="6"/>
        <v>55811.799999999996</v>
      </c>
      <c r="U27" s="75">
        <f t="shared" si="7"/>
        <v>1</v>
      </c>
      <c r="V27" s="76">
        <f t="shared" si="8"/>
        <v>0</v>
      </c>
      <c r="W27" s="77">
        <f t="shared" si="9"/>
        <v>0</v>
      </c>
      <c r="X27" s="78">
        <f t="shared" si="10"/>
        <v>0</v>
      </c>
    </row>
    <row r="28" spans="2:26" s="5" customFormat="1" ht="16.5" customHeight="1" x14ac:dyDescent="0.35">
      <c r="B28" s="4"/>
      <c r="C28" s="28" t="s">
        <v>52</v>
      </c>
      <c r="D28" s="28" t="s">
        <v>32</v>
      </c>
      <c r="E28" s="29" t="s">
        <v>923</v>
      </c>
      <c r="F28" s="30" t="s">
        <v>924</v>
      </c>
      <c r="G28" s="31" t="s">
        <v>120</v>
      </c>
      <c r="H28" s="32">
        <v>30</v>
      </c>
      <c r="I28" s="32">
        <v>30</v>
      </c>
      <c r="J28" s="32">
        <v>30</v>
      </c>
      <c r="K28" s="33">
        <v>66.849999999999994</v>
      </c>
      <c r="L28" s="34">
        <f t="shared" si="0"/>
        <v>2005.5</v>
      </c>
      <c r="M28" s="90">
        <f t="shared" si="2"/>
        <v>2005.4999999999998</v>
      </c>
      <c r="N28" s="90">
        <f t="shared" si="3"/>
        <v>2005.4999999999998</v>
      </c>
      <c r="O28" s="70">
        <v>30</v>
      </c>
      <c r="P28" s="71">
        <f t="shared" si="1"/>
        <v>2005.4999999999998</v>
      </c>
      <c r="Q28" s="72"/>
      <c r="R28" s="73">
        <f t="shared" si="4"/>
        <v>0</v>
      </c>
      <c r="S28" s="70">
        <f t="shared" si="5"/>
        <v>30</v>
      </c>
      <c r="T28" s="74">
        <f t="shared" si="6"/>
        <v>2005.4999999999998</v>
      </c>
      <c r="U28" s="75">
        <f t="shared" si="7"/>
        <v>1</v>
      </c>
      <c r="V28" s="76">
        <f t="shared" si="8"/>
        <v>0</v>
      </c>
      <c r="W28" s="77">
        <f t="shared" si="9"/>
        <v>0</v>
      </c>
      <c r="X28" s="78">
        <f t="shared" si="10"/>
        <v>0</v>
      </c>
    </row>
    <row r="29" spans="2:26" s="5" customFormat="1" ht="16.5" customHeight="1" x14ac:dyDescent="0.35">
      <c r="B29" s="4"/>
      <c r="C29" s="28" t="s">
        <v>55</v>
      </c>
      <c r="D29" s="28" t="s">
        <v>32</v>
      </c>
      <c r="E29" s="29" t="s">
        <v>925</v>
      </c>
      <c r="F29" s="30" t="s">
        <v>926</v>
      </c>
      <c r="G29" s="31" t="s">
        <v>207</v>
      </c>
      <c r="H29" s="32">
        <v>32.700000000000003</v>
      </c>
      <c r="I29" s="32">
        <v>32.700000000000003</v>
      </c>
      <c r="J29" s="32">
        <v>32.700000000000003</v>
      </c>
      <c r="K29" s="33">
        <v>40.11</v>
      </c>
      <c r="L29" s="34">
        <f t="shared" si="0"/>
        <v>1311.6</v>
      </c>
      <c r="M29" s="90">
        <f t="shared" si="2"/>
        <v>1311.5970000000002</v>
      </c>
      <c r="N29" s="90">
        <f t="shared" si="3"/>
        <v>1311.5970000000002</v>
      </c>
      <c r="O29" s="70">
        <v>32.700000000000003</v>
      </c>
      <c r="P29" s="71">
        <f t="shared" si="1"/>
        <v>1311.5970000000002</v>
      </c>
      <c r="Q29" s="72"/>
      <c r="R29" s="73">
        <f t="shared" si="4"/>
        <v>0</v>
      </c>
      <c r="S29" s="70">
        <f t="shared" si="5"/>
        <v>32.700000000000003</v>
      </c>
      <c r="T29" s="74">
        <f t="shared" si="6"/>
        <v>1311.5970000000002</v>
      </c>
      <c r="U29" s="75">
        <f t="shared" si="7"/>
        <v>1</v>
      </c>
      <c r="V29" s="76">
        <f t="shared" si="8"/>
        <v>0</v>
      </c>
      <c r="W29" s="77">
        <f t="shared" si="9"/>
        <v>0</v>
      </c>
      <c r="X29" s="78">
        <f t="shared" si="10"/>
        <v>0</v>
      </c>
    </row>
    <row r="30" spans="2:26" s="5" customFormat="1" ht="24.15" customHeight="1" x14ac:dyDescent="0.35">
      <c r="B30" s="4"/>
      <c r="C30" s="28" t="s">
        <v>58</v>
      </c>
      <c r="D30" s="28" t="s">
        <v>32</v>
      </c>
      <c r="E30" s="29" t="s">
        <v>741</v>
      </c>
      <c r="F30" s="30" t="s">
        <v>742</v>
      </c>
      <c r="G30" s="31" t="s">
        <v>207</v>
      </c>
      <c r="H30" s="32">
        <v>76.3</v>
      </c>
      <c r="I30" s="32">
        <v>76.3</v>
      </c>
      <c r="J30" s="32">
        <v>76.3</v>
      </c>
      <c r="K30" s="33">
        <v>21.39</v>
      </c>
      <c r="L30" s="34">
        <f t="shared" si="0"/>
        <v>1632.06</v>
      </c>
      <c r="M30" s="90">
        <f t="shared" si="2"/>
        <v>1632.057</v>
      </c>
      <c r="N30" s="90">
        <f t="shared" si="3"/>
        <v>1632.057</v>
      </c>
      <c r="O30" s="70">
        <v>76.3</v>
      </c>
      <c r="P30" s="71">
        <f t="shared" si="1"/>
        <v>1632.057</v>
      </c>
      <c r="Q30" s="72"/>
      <c r="R30" s="73">
        <f t="shared" si="4"/>
        <v>0</v>
      </c>
      <c r="S30" s="70">
        <f t="shared" si="5"/>
        <v>76.3</v>
      </c>
      <c r="T30" s="74">
        <f t="shared" si="6"/>
        <v>1632.057</v>
      </c>
      <c r="U30" s="75">
        <f t="shared" si="7"/>
        <v>1</v>
      </c>
      <c r="V30" s="76">
        <f t="shared" si="8"/>
        <v>0</v>
      </c>
      <c r="W30" s="77">
        <f t="shared" si="9"/>
        <v>0</v>
      </c>
      <c r="X30" s="78">
        <f t="shared" si="10"/>
        <v>0</v>
      </c>
    </row>
    <row r="31" spans="2:26" s="5" customFormat="1" ht="38" customHeight="1" x14ac:dyDescent="0.35">
      <c r="B31" s="4"/>
      <c r="C31" s="28" t="s">
        <v>61</v>
      </c>
      <c r="D31" s="28" t="s">
        <v>32</v>
      </c>
      <c r="E31" s="29" t="s">
        <v>215</v>
      </c>
      <c r="F31" s="30" t="s">
        <v>216</v>
      </c>
      <c r="G31" s="31" t="s">
        <v>214</v>
      </c>
      <c r="H31" s="32">
        <v>84.95</v>
      </c>
      <c r="I31" s="32">
        <v>84.95</v>
      </c>
      <c r="J31" s="32">
        <f>84.95+312.468</f>
        <v>397.41800000000001</v>
      </c>
      <c r="K31" s="33">
        <v>147.08000000000001</v>
      </c>
      <c r="L31" s="34">
        <f t="shared" si="0"/>
        <v>12494.45</v>
      </c>
      <c r="M31" s="90">
        <f t="shared" si="2"/>
        <v>12494.446000000002</v>
      </c>
      <c r="N31" s="90">
        <f t="shared" si="3"/>
        <v>58452.239440000005</v>
      </c>
      <c r="O31" s="70">
        <v>84.95</v>
      </c>
      <c r="P31" s="71">
        <f t="shared" si="1"/>
        <v>12494.446000000002</v>
      </c>
      <c r="Q31" s="72"/>
      <c r="R31" s="73">
        <f t="shared" si="4"/>
        <v>0</v>
      </c>
      <c r="S31" s="70">
        <f t="shared" si="5"/>
        <v>84.95</v>
      </c>
      <c r="T31" s="74">
        <f t="shared" si="6"/>
        <v>12494.446000000002</v>
      </c>
      <c r="U31" s="75">
        <f t="shared" si="7"/>
        <v>1</v>
      </c>
      <c r="V31" s="76">
        <f t="shared" si="8"/>
        <v>0</v>
      </c>
      <c r="W31" s="77">
        <f t="shared" si="9"/>
        <v>0</v>
      </c>
      <c r="X31" s="78">
        <f t="shared" si="10"/>
        <v>0</v>
      </c>
    </row>
    <row r="32" spans="2:26" s="5" customFormat="1" ht="38" customHeight="1" x14ac:dyDescent="0.35">
      <c r="B32" s="4"/>
      <c r="C32" s="28" t="s">
        <v>64</v>
      </c>
      <c r="D32" s="28" t="s">
        <v>32</v>
      </c>
      <c r="E32" s="29" t="s">
        <v>217</v>
      </c>
      <c r="F32" s="30" t="s">
        <v>218</v>
      </c>
      <c r="G32" s="31" t="s">
        <v>214</v>
      </c>
      <c r="H32" s="32">
        <v>177.209</v>
      </c>
      <c r="I32" s="32">
        <v>177.209</v>
      </c>
      <c r="J32" s="32">
        <v>177.209</v>
      </c>
      <c r="K32" s="33">
        <v>213.93</v>
      </c>
      <c r="L32" s="34">
        <f t="shared" si="0"/>
        <v>37910.32</v>
      </c>
      <c r="M32" s="90">
        <f t="shared" si="2"/>
        <v>37910.321370000005</v>
      </c>
      <c r="N32" s="90">
        <f t="shared" si="3"/>
        <v>37910.321370000005</v>
      </c>
      <c r="O32" s="70">
        <v>177.209</v>
      </c>
      <c r="P32" s="71">
        <f t="shared" si="1"/>
        <v>37910.321370000005</v>
      </c>
      <c r="Q32" s="72"/>
      <c r="R32" s="73">
        <f t="shared" si="4"/>
        <v>0</v>
      </c>
      <c r="S32" s="70">
        <f t="shared" si="5"/>
        <v>177.209</v>
      </c>
      <c r="T32" s="74">
        <f t="shared" si="6"/>
        <v>37910.321370000005</v>
      </c>
      <c r="U32" s="75">
        <f t="shared" si="7"/>
        <v>1</v>
      </c>
      <c r="V32" s="76">
        <f t="shared" si="8"/>
        <v>0</v>
      </c>
      <c r="W32" s="77">
        <f t="shared" si="9"/>
        <v>0</v>
      </c>
      <c r="X32" s="78">
        <f t="shared" si="10"/>
        <v>0</v>
      </c>
    </row>
    <row r="33" spans="2:26" s="5" customFormat="1" ht="38" customHeight="1" x14ac:dyDescent="0.35">
      <c r="B33" s="4"/>
      <c r="C33" s="28" t="s">
        <v>130</v>
      </c>
      <c r="D33" s="28" t="s">
        <v>32</v>
      </c>
      <c r="E33" s="29" t="s">
        <v>759</v>
      </c>
      <c r="F33" s="30" t="s">
        <v>760</v>
      </c>
      <c r="G33" s="31" t="s">
        <v>214</v>
      </c>
      <c r="H33" s="32">
        <v>2684</v>
      </c>
      <c r="I33" s="32">
        <v>1772.09</v>
      </c>
      <c r="J33" s="32">
        <v>7708.9800000000005</v>
      </c>
      <c r="K33" s="33">
        <v>1.34</v>
      </c>
      <c r="L33" s="34">
        <f t="shared" si="0"/>
        <v>3596.56</v>
      </c>
      <c r="M33" s="90">
        <f t="shared" si="2"/>
        <v>2374.6006000000002</v>
      </c>
      <c r="N33" s="90">
        <f t="shared" si="3"/>
        <v>10330.033200000002</v>
      </c>
      <c r="O33" s="70">
        <v>1772.09</v>
      </c>
      <c r="P33" s="71">
        <f t="shared" si="1"/>
        <v>2374.6006000000002</v>
      </c>
      <c r="Q33" s="72"/>
      <c r="R33" s="73">
        <f t="shared" si="4"/>
        <v>0</v>
      </c>
      <c r="S33" s="70">
        <f t="shared" si="5"/>
        <v>1772.09</v>
      </c>
      <c r="T33" s="74">
        <f t="shared" si="6"/>
        <v>2374.6006000000002</v>
      </c>
      <c r="U33" s="75">
        <f t="shared" si="7"/>
        <v>1</v>
      </c>
      <c r="V33" s="76">
        <f t="shared" si="8"/>
        <v>0</v>
      </c>
      <c r="W33" s="77">
        <f t="shared" si="9"/>
        <v>0</v>
      </c>
      <c r="X33" s="78">
        <f t="shared" si="10"/>
        <v>0</v>
      </c>
    </row>
    <row r="34" spans="2:26" s="5" customFormat="1" ht="16.5" customHeight="1" x14ac:dyDescent="0.35">
      <c r="B34" s="4"/>
      <c r="C34" s="28" t="s">
        <v>133</v>
      </c>
      <c r="D34" s="28" t="s">
        <v>32</v>
      </c>
      <c r="E34" s="29" t="s">
        <v>221</v>
      </c>
      <c r="F34" s="30" t="s">
        <v>222</v>
      </c>
      <c r="G34" s="31" t="s">
        <v>223</v>
      </c>
      <c r="H34" s="32">
        <v>354.41800000000001</v>
      </c>
      <c r="I34" s="32">
        <f>354.418</f>
        <v>354.41800000000001</v>
      </c>
      <c r="J34" s="32">
        <v>1275.895</v>
      </c>
      <c r="K34" s="33">
        <v>212.59</v>
      </c>
      <c r="L34" s="34">
        <f t="shared" si="0"/>
        <v>75345.72</v>
      </c>
      <c r="M34" s="90">
        <f t="shared" si="2"/>
        <v>75345.72262</v>
      </c>
      <c r="N34" s="90">
        <f t="shared" si="3"/>
        <v>271242.51805000001</v>
      </c>
      <c r="O34" s="70">
        <v>354.41800000000001</v>
      </c>
      <c r="P34" s="71">
        <f t="shared" si="1"/>
        <v>75345.72262</v>
      </c>
      <c r="Q34" s="72"/>
      <c r="R34" s="73">
        <f t="shared" si="4"/>
        <v>0</v>
      </c>
      <c r="S34" s="70">
        <f t="shared" si="5"/>
        <v>354.41800000000001</v>
      </c>
      <c r="T34" s="74">
        <f t="shared" si="6"/>
        <v>75345.72262</v>
      </c>
      <c r="U34" s="75">
        <f t="shared" si="7"/>
        <v>1</v>
      </c>
      <c r="V34" s="76">
        <f t="shared" si="8"/>
        <v>0</v>
      </c>
      <c r="W34" s="77">
        <f t="shared" si="9"/>
        <v>0</v>
      </c>
      <c r="X34" s="78">
        <f t="shared" si="10"/>
        <v>0</v>
      </c>
    </row>
    <row r="35" spans="2:26" s="5" customFormat="1" ht="24.15" customHeight="1" x14ac:dyDescent="0.35">
      <c r="B35" s="4"/>
      <c r="C35" s="28" t="s">
        <v>136</v>
      </c>
      <c r="D35" s="28" t="s">
        <v>32</v>
      </c>
      <c r="E35" s="29" t="s">
        <v>224</v>
      </c>
      <c r="F35" s="30" t="s">
        <v>225</v>
      </c>
      <c r="G35" s="31" t="s">
        <v>214</v>
      </c>
      <c r="H35" s="32">
        <v>10.35</v>
      </c>
      <c r="I35" s="32">
        <v>10.35</v>
      </c>
      <c r="J35" s="32">
        <v>10.35</v>
      </c>
      <c r="K35" s="33">
        <v>133.71</v>
      </c>
      <c r="L35" s="34">
        <f t="shared" si="0"/>
        <v>1383.9</v>
      </c>
      <c r="M35" s="90">
        <f t="shared" si="2"/>
        <v>1383.8985</v>
      </c>
      <c r="N35" s="90">
        <f t="shared" si="3"/>
        <v>1383.8985</v>
      </c>
      <c r="O35" s="70">
        <v>10.35</v>
      </c>
      <c r="P35" s="71">
        <f t="shared" si="1"/>
        <v>1383.8985</v>
      </c>
      <c r="Q35" s="72"/>
      <c r="R35" s="73">
        <f t="shared" si="4"/>
        <v>0</v>
      </c>
      <c r="S35" s="70">
        <f t="shared" si="5"/>
        <v>10.35</v>
      </c>
      <c r="T35" s="74">
        <f t="shared" si="6"/>
        <v>1383.8985</v>
      </c>
      <c r="U35" s="75">
        <f t="shared" si="7"/>
        <v>1</v>
      </c>
      <c r="V35" s="76">
        <f t="shared" si="8"/>
        <v>0</v>
      </c>
      <c r="W35" s="77">
        <f t="shared" si="9"/>
        <v>0</v>
      </c>
      <c r="X35" s="78">
        <f t="shared" si="10"/>
        <v>0</v>
      </c>
    </row>
    <row r="36" spans="2:26" s="5" customFormat="1" ht="33" customHeight="1" x14ac:dyDescent="0.35">
      <c r="B36" s="4"/>
      <c r="C36" s="28" t="s">
        <v>74</v>
      </c>
      <c r="D36" s="28" t="s">
        <v>32</v>
      </c>
      <c r="E36" s="29" t="s">
        <v>927</v>
      </c>
      <c r="F36" s="30" t="s">
        <v>928</v>
      </c>
      <c r="G36" s="31" t="s">
        <v>207</v>
      </c>
      <c r="H36" s="32">
        <v>69</v>
      </c>
      <c r="I36" s="32">
        <v>69</v>
      </c>
      <c r="J36" s="32">
        <v>69</v>
      </c>
      <c r="K36" s="33">
        <v>26.74</v>
      </c>
      <c r="L36" s="34">
        <f t="shared" si="0"/>
        <v>1845.06</v>
      </c>
      <c r="M36" s="90">
        <f t="shared" si="2"/>
        <v>1845.06</v>
      </c>
      <c r="N36" s="90">
        <f t="shared" si="3"/>
        <v>1845.06</v>
      </c>
      <c r="O36" s="70">
        <v>69</v>
      </c>
      <c r="P36" s="71">
        <f t="shared" si="1"/>
        <v>1845.06</v>
      </c>
      <c r="Q36" s="72"/>
      <c r="R36" s="73">
        <f t="shared" si="4"/>
        <v>0</v>
      </c>
      <c r="S36" s="70">
        <f t="shared" si="5"/>
        <v>69</v>
      </c>
      <c r="T36" s="74">
        <f t="shared" si="6"/>
        <v>1845.06</v>
      </c>
      <c r="U36" s="75">
        <f t="shared" si="7"/>
        <v>1</v>
      </c>
      <c r="V36" s="76">
        <f t="shared" si="8"/>
        <v>0</v>
      </c>
      <c r="W36" s="77">
        <f t="shared" si="9"/>
        <v>0</v>
      </c>
      <c r="X36" s="78">
        <f t="shared" si="10"/>
        <v>0</v>
      </c>
    </row>
    <row r="37" spans="2:26" s="5" customFormat="1" ht="24.15" customHeight="1" x14ac:dyDescent="0.35">
      <c r="B37" s="4"/>
      <c r="C37" s="28" t="s">
        <v>143</v>
      </c>
      <c r="D37" s="28" t="s">
        <v>32</v>
      </c>
      <c r="E37" s="29" t="s">
        <v>463</v>
      </c>
      <c r="F37" s="30" t="s">
        <v>464</v>
      </c>
      <c r="G37" s="31" t="s">
        <v>207</v>
      </c>
      <c r="H37" s="32">
        <v>69</v>
      </c>
      <c r="I37" s="32">
        <v>69</v>
      </c>
      <c r="J37" s="32">
        <v>69</v>
      </c>
      <c r="K37" s="33">
        <v>21.39</v>
      </c>
      <c r="L37" s="34">
        <f t="shared" si="0"/>
        <v>1475.91</v>
      </c>
      <c r="M37" s="90">
        <f t="shared" si="2"/>
        <v>1475.91</v>
      </c>
      <c r="N37" s="90">
        <f t="shared" si="3"/>
        <v>1475.91</v>
      </c>
      <c r="O37" s="70">
        <v>0</v>
      </c>
      <c r="P37" s="71">
        <f t="shared" si="1"/>
        <v>0</v>
      </c>
      <c r="Q37" s="72"/>
      <c r="R37" s="73">
        <f t="shared" si="4"/>
        <v>0</v>
      </c>
      <c r="S37" s="70">
        <f t="shared" si="5"/>
        <v>0</v>
      </c>
      <c r="T37" s="74">
        <f t="shared" si="6"/>
        <v>0</v>
      </c>
      <c r="U37" s="75">
        <f t="shared" si="7"/>
        <v>0</v>
      </c>
      <c r="V37" s="76">
        <f t="shared" si="8"/>
        <v>69</v>
      </c>
      <c r="W37" s="77">
        <f t="shared" si="9"/>
        <v>1475.91</v>
      </c>
      <c r="X37" s="78">
        <f t="shared" si="10"/>
        <v>1</v>
      </c>
    </row>
    <row r="38" spans="2:26" s="5" customFormat="1" ht="16.5" customHeight="1" x14ac:dyDescent="0.35">
      <c r="B38" s="4"/>
      <c r="C38" s="38" t="s">
        <v>147</v>
      </c>
      <c r="D38" s="38" t="s">
        <v>193</v>
      </c>
      <c r="E38" s="39" t="s">
        <v>929</v>
      </c>
      <c r="F38" s="40" t="s">
        <v>930</v>
      </c>
      <c r="G38" s="41" t="s">
        <v>323</v>
      </c>
      <c r="H38" s="42">
        <v>2.0699999999999998</v>
      </c>
      <c r="I38" s="42">
        <v>2.0699999999999998</v>
      </c>
      <c r="J38" s="42">
        <v>2.0699999999999998</v>
      </c>
      <c r="K38" s="43">
        <v>187.19</v>
      </c>
      <c r="L38" s="44">
        <f t="shared" si="0"/>
        <v>387.48</v>
      </c>
      <c r="M38" s="90">
        <f t="shared" si="2"/>
        <v>387.48329999999999</v>
      </c>
      <c r="N38" s="90">
        <f t="shared" si="3"/>
        <v>387.48329999999999</v>
      </c>
      <c r="O38" s="70">
        <v>0</v>
      </c>
      <c r="P38" s="71">
        <f t="shared" si="1"/>
        <v>0</v>
      </c>
      <c r="Q38" s="72"/>
      <c r="R38" s="73">
        <f t="shared" si="4"/>
        <v>0</v>
      </c>
      <c r="S38" s="70">
        <f t="shared" si="5"/>
        <v>0</v>
      </c>
      <c r="T38" s="74">
        <f t="shared" si="6"/>
        <v>0</v>
      </c>
      <c r="U38" s="75">
        <f t="shared" si="7"/>
        <v>0</v>
      </c>
      <c r="V38" s="76">
        <f t="shared" si="8"/>
        <v>2.0699999999999998</v>
      </c>
      <c r="W38" s="77">
        <f t="shared" si="9"/>
        <v>387.48329999999999</v>
      </c>
      <c r="X38" s="78">
        <f t="shared" si="10"/>
        <v>1</v>
      </c>
    </row>
    <row r="39" spans="2:26" s="5" customFormat="1" ht="24.15" customHeight="1" x14ac:dyDescent="0.35">
      <c r="B39" s="4"/>
      <c r="C39" s="28" t="s">
        <v>149</v>
      </c>
      <c r="D39" s="28" t="s">
        <v>32</v>
      </c>
      <c r="E39" s="29" t="s">
        <v>931</v>
      </c>
      <c r="F39" s="30" t="s">
        <v>932</v>
      </c>
      <c r="G39" s="31" t="s">
        <v>207</v>
      </c>
      <c r="H39" s="32">
        <v>69</v>
      </c>
      <c r="I39" s="32">
        <f>69</f>
        <v>69</v>
      </c>
      <c r="J39" s="32">
        <f>69+470.7</f>
        <v>539.70000000000005</v>
      </c>
      <c r="K39" s="33">
        <v>10.7</v>
      </c>
      <c r="L39" s="34">
        <f t="shared" si="0"/>
        <v>738.3</v>
      </c>
      <c r="M39" s="90">
        <f t="shared" si="2"/>
        <v>738.3</v>
      </c>
      <c r="N39" s="90">
        <f t="shared" si="3"/>
        <v>5774.79</v>
      </c>
      <c r="O39" s="70">
        <v>69</v>
      </c>
      <c r="P39" s="71">
        <f t="shared" si="1"/>
        <v>738.3</v>
      </c>
      <c r="Q39" s="72"/>
      <c r="R39" s="73">
        <f t="shared" si="4"/>
        <v>0</v>
      </c>
      <c r="S39" s="70">
        <f t="shared" si="5"/>
        <v>69</v>
      </c>
      <c r="T39" s="74">
        <f t="shared" si="6"/>
        <v>738.3</v>
      </c>
      <c r="U39" s="75">
        <f t="shared" si="7"/>
        <v>1</v>
      </c>
      <c r="V39" s="76">
        <f t="shared" si="8"/>
        <v>0</v>
      </c>
      <c r="W39" s="77">
        <f t="shared" si="9"/>
        <v>0</v>
      </c>
      <c r="X39" s="78">
        <f t="shared" si="10"/>
        <v>0</v>
      </c>
    </row>
    <row r="40" spans="2:26" s="5" customFormat="1" ht="24.15" customHeight="1" x14ac:dyDescent="0.35">
      <c r="B40" s="4"/>
      <c r="C40" s="28" t="s">
        <v>151</v>
      </c>
      <c r="D40" s="28" t="s">
        <v>32</v>
      </c>
      <c r="E40" s="29" t="s">
        <v>231</v>
      </c>
      <c r="F40" s="30" t="s">
        <v>232</v>
      </c>
      <c r="G40" s="31" t="s">
        <v>207</v>
      </c>
      <c r="H40" s="32">
        <v>1227.5999999999999</v>
      </c>
      <c r="I40" s="32">
        <f>1124.15</f>
        <v>1124.1500000000001</v>
      </c>
      <c r="J40" s="32">
        <f>1124.15+470.7</f>
        <v>1594.8500000000001</v>
      </c>
      <c r="K40" s="33">
        <v>16.04</v>
      </c>
      <c r="L40" s="34">
        <f t="shared" si="0"/>
        <v>19690.7</v>
      </c>
      <c r="M40" s="90">
        <f t="shared" si="2"/>
        <v>18031.366000000002</v>
      </c>
      <c r="N40" s="90">
        <f t="shared" si="3"/>
        <v>25581.394</v>
      </c>
      <c r="O40" s="70">
        <v>1124.1500000000001</v>
      </c>
      <c r="P40" s="71">
        <f t="shared" si="1"/>
        <v>18031.366000000002</v>
      </c>
      <c r="Q40" s="72"/>
      <c r="R40" s="73">
        <f t="shared" si="4"/>
        <v>0</v>
      </c>
      <c r="S40" s="70">
        <f t="shared" si="5"/>
        <v>1124.1500000000001</v>
      </c>
      <c r="T40" s="74">
        <f t="shared" si="6"/>
        <v>18031.366000000002</v>
      </c>
      <c r="U40" s="75">
        <f t="shared" si="7"/>
        <v>1</v>
      </c>
      <c r="V40" s="76">
        <f t="shared" si="8"/>
        <v>0</v>
      </c>
      <c r="W40" s="77">
        <f t="shared" si="9"/>
        <v>0</v>
      </c>
      <c r="X40" s="78">
        <f t="shared" si="10"/>
        <v>0</v>
      </c>
    </row>
    <row r="41" spans="2:26" s="23" customFormat="1" ht="23" customHeight="1" x14ac:dyDescent="0.25">
      <c r="B41" s="22"/>
      <c r="D41" s="24" t="s">
        <v>27</v>
      </c>
      <c r="E41" s="36" t="s">
        <v>30</v>
      </c>
      <c r="F41" s="36" t="s">
        <v>233</v>
      </c>
      <c r="K41" s="26"/>
      <c r="L41" s="37">
        <f>SUM(L42:L56)</f>
        <v>1802612.48</v>
      </c>
      <c r="M41" s="37">
        <f>SUM(M42:M56)</f>
        <v>740332.39098000014</v>
      </c>
      <c r="N41" s="37">
        <f>SUM(N42:N56)</f>
        <v>771790.81680000015</v>
      </c>
      <c r="P41" s="37">
        <f>SUM(P42:P56)</f>
        <v>681168.56843099999</v>
      </c>
      <c r="R41" s="37">
        <f>SUM(R42:R56)</f>
        <v>0</v>
      </c>
      <c r="T41" s="37">
        <f>SUM(T42:T56)</f>
        <v>681168.56843099999</v>
      </c>
      <c r="W41" s="37">
        <f>SUM(W42:W56)</f>
        <v>59163.822549000026</v>
      </c>
      <c r="Z41" s="135">
        <f>M41-T41-W41</f>
        <v>1.2369127944111824E-10</v>
      </c>
    </row>
    <row r="42" spans="2:26" s="5" customFormat="1" ht="21.75" customHeight="1" x14ac:dyDescent="0.35">
      <c r="B42" s="4"/>
      <c r="C42" s="28" t="s">
        <v>155</v>
      </c>
      <c r="D42" s="28" t="s">
        <v>32</v>
      </c>
      <c r="E42" s="29" t="s">
        <v>727</v>
      </c>
      <c r="F42" s="30" t="s">
        <v>728</v>
      </c>
      <c r="G42" s="31" t="s">
        <v>207</v>
      </c>
      <c r="H42" s="32">
        <v>41</v>
      </c>
      <c r="I42" s="32">
        <v>41</v>
      </c>
      <c r="J42" s="32">
        <f>J49+J55</f>
        <v>50.3</v>
      </c>
      <c r="K42" s="33">
        <v>160.44999999999999</v>
      </c>
      <c r="L42" s="34">
        <f t="shared" ref="L42:L56" si="11">ROUND(K42*H42,2)</f>
        <v>6578.45</v>
      </c>
      <c r="M42" s="90">
        <f t="shared" si="2"/>
        <v>6578.45</v>
      </c>
      <c r="N42" s="90">
        <f t="shared" si="3"/>
        <v>8070.6349999999993</v>
      </c>
      <c r="O42" s="70">
        <v>38.949999999999996</v>
      </c>
      <c r="P42" s="71">
        <f t="shared" ref="P42:P56" si="12">O42*K42</f>
        <v>6249.5274999999992</v>
      </c>
      <c r="Q42" s="72"/>
      <c r="R42" s="73">
        <f t="shared" si="4"/>
        <v>0</v>
      </c>
      <c r="S42" s="70">
        <f t="shared" ref="S42:S56" si="13">Q42+O42</f>
        <v>38.949999999999996</v>
      </c>
      <c r="T42" s="74">
        <f t="shared" ref="T42:T56" si="14">S42*K42</f>
        <v>6249.5274999999992</v>
      </c>
      <c r="U42" s="75">
        <f t="shared" ref="U42:U56" si="15">T42/M42</f>
        <v>0.95</v>
      </c>
      <c r="V42" s="76">
        <f t="shared" ref="V42:V56" si="16">I42-S42</f>
        <v>2.0500000000000043</v>
      </c>
      <c r="W42" s="77">
        <f t="shared" ref="W42:W56" si="17">V42*K42</f>
        <v>328.92250000000064</v>
      </c>
      <c r="X42" s="78">
        <f t="shared" ref="X42:X56" si="18">V42/I42</f>
        <v>5.0000000000000107E-2</v>
      </c>
    </row>
    <row r="43" spans="2:26" s="5" customFormat="1" ht="24.15" customHeight="1" x14ac:dyDescent="0.35">
      <c r="B43" s="4"/>
      <c r="C43" s="28" t="s">
        <v>157</v>
      </c>
      <c r="D43" s="28" t="s">
        <v>32</v>
      </c>
      <c r="E43" s="29" t="s">
        <v>933</v>
      </c>
      <c r="F43" s="30" t="s">
        <v>934</v>
      </c>
      <c r="G43" s="31" t="s">
        <v>207</v>
      </c>
      <c r="H43" s="32">
        <v>1651.45</v>
      </c>
      <c r="I43" s="32">
        <v>1651.45</v>
      </c>
      <c r="J43" s="32">
        <f>J85+J85+J53</f>
        <v>1906.8000000000002</v>
      </c>
      <c r="K43" s="33">
        <v>157.77000000000001</v>
      </c>
      <c r="L43" s="34">
        <f t="shared" si="11"/>
        <v>260549.27</v>
      </c>
      <c r="M43" s="90">
        <f t="shared" si="2"/>
        <v>260549.26650000003</v>
      </c>
      <c r="N43" s="90">
        <f t="shared" si="3"/>
        <v>300835.83600000007</v>
      </c>
      <c r="O43" s="70">
        <v>1568.8775000000001</v>
      </c>
      <c r="P43" s="71">
        <f t="shared" si="12"/>
        <v>247521.80317500004</v>
      </c>
      <c r="Q43" s="72"/>
      <c r="R43" s="73">
        <f t="shared" si="4"/>
        <v>0</v>
      </c>
      <c r="S43" s="70">
        <f t="shared" si="13"/>
        <v>1568.8775000000001</v>
      </c>
      <c r="T43" s="74">
        <f t="shared" si="14"/>
        <v>247521.80317500004</v>
      </c>
      <c r="U43" s="75">
        <f t="shared" si="15"/>
        <v>0.95000000000000007</v>
      </c>
      <c r="V43" s="76">
        <f t="shared" si="16"/>
        <v>82.572499999999991</v>
      </c>
      <c r="W43" s="77">
        <f t="shared" si="17"/>
        <v>13027.463324999999</v>
      </c>
      <c r="X43" s="78">
        <f t="shared" si="18"/>
        <v>4.9999999999999996E-2</v>
      </c>
    </row>
    <row r="44" spans="2:26" s="5" customFormat="1" ht="24.15" customHeight="1" x14ac:dyDescent="0.35">
      <c r="B44" s="4"/>
      <c r="C44" s="28" t="s">
        <v>159</v>
      </c>
      <c r="D44" s="28" t="s">
        <v>32</v>
      </c>
      <c r="E44" s="29" t="s">
        <v>234</v>
      </c>
      <c r="F44" s="30" t="s">
        <v>235</v>
      </c>
      <c r="G44" s="31" t="s">
        <v>207</v>
      </c>
      <c r="H44" s="32">
        <v>326.7</v>
      </c>
      <c r="I44" s="32">
        <v>326.7</v>
      </c>
      <c r="J44" s="32">
        <v>326.7</v>
      </c>
      <c r="K44" s="33">
        <v>211.26</v>
      </c>
      <c r="L44" s="34">
        <f t="shared" si="11"/>
        <v>69018.64</v>
      </c>
      <c r="M44" s="90">
        <f t="shared" si="2"/>
        <v>69018.641999999993</v>
      </c>
      <c r="N44" s="90">
        <f t="shared" si="3"/>
        <v>69018.641999999993</v>
      </c>
      <c r="O44" s="70">
        <v>310.36499999999995</v>
      </c>
      <c r="P44" s="71">
        <f t="shared" si="12"/>
        <v>65567.709899999987</v>
      </c>
      <c r="Q44" s="72"/>
      <c r="R44" s="73">
        <f t="shared" si="4"/>
        <v>0</v>
      </c>
      <c r="S44" s="70">
        <f t="shared" si="13"/>
        <v>310.36499999999995</v>
      </c>
      <c r="T44" s="74">
        <f t="shared" si="14"/>
        <v>65567.709899999987</v>
      </c>
      <c r="U44" s="75">
        <f t="shared" si="15"/>
        <v>0.95</v>
      </c>
      <c r="V44" s="76">
        <f t="shared" si="16"/>
        <v>16.335000000000036</v>
      </c>
      <c r="W44" s="77">
        <f t="shared" si="17"/>
        <v>3450.9321000000077</v>
      </c>
      <c r="X44" s="78">
        <f t="shared" si="18"/>
        <v>5.0000000000000114E-2</v>
      </c>
    </row>
    <row r="45" spans="2:26" s="5" customFormat="1" ht="21.75" customHeight="1" x14ac:dyDescent="0.35">
      <c r="B45" s="4"/>
      <c r="C45" s="28" t="s">
        <v>161</v>
      </c>
      <c r="D45" s="28" t="s">
        <v>32</v>
      </c>
      <c r="E45" s="29" t="s">
        <v>935</v>
      </c>
      <c r="F45" s="30" t="s">
        <v>936</v>
      </c>
      <c r="G45" s="31" t="s">
        <v>207</v>
      </c>
      <c r="H45" s="32">
        <v>62</v>
      </c>
      <c r="I45" s="32">
        <v>62</v>
      </c>
      <c r="J45" s="32">
        <f>J46</f>
        <v>68.2</v>
      </c>
      <c r="K45" s="33">
        <v>267.41000000000003</v>
      </c>
      <c r="L45" s="34">
        <f t="shared" si="11"/>
        <v>16579.419999999998</v>
      </c>
      <c r="M45" s="90">
        <f t="shared" si="2"/>
        <v>16579.420000000002</v>
      </c>
      <c r="N45" s="90">
        <f t="shared" si="3"/>
        <v>18237.362000000001</v>
      </c>
      <c r="O45" s="70">
        <v>58.899999999999991</v>
      </c>
      <c r="P45" s="71">
        <f t="shared" si="12"/>
        <v>15750.448999999999</v>
      </c>
      <c r="Q45" s="72"/>
      <c r="R45" s="73">
        <f t="shared" si="4"/>
        <v>0</v>
      </c>
      <c r="S45" s="70">
        <f t="shared" si="13"/>
        <v>58.899999999999991</v>
      </c>
      <c r="T45" s="74">
        <f t="shared" si="14"/>
        <v>15750.448999999999</v>
      </c>
      <c r="U45" s="75">
        <f t="shared" si="15"/>
        <v>0.94999999999999984</v>
      </c>
      <c r="V45" s="76">
        <f t="shared" si="16"/>
        <v>3.1000000000000085</v>
      </c>
      <c r="W45" s="77">
        <f t="shared" si="17"/>
        <v>828.97100000000239</v>
      </c>
      <c r="X45" s="78">
        <f t="shared" si="18"/>
        <v>5.0000000000000135E-2</v>
      </c>
    </row>
    <row r="46" spans="2:26" s="5" customFormat="1" ht="24.15" customHeight="1" x14ac:dyDescent="0.35">
      <c r="B46" s="4"/>
      <c r="C46" s="28" t="s">
        <v>172</v>
      </c>
      <c r="D46" s="28" t="s">
        <v>32</v>
      </c>
      <c r="E46" s="29" t="s">
        <v>937</v>
      </c>
      <c r="F46" s="30" t="s">
        <v>938</v>
      </c>
      <c r="G46" s="31" t="s">
        <v>207</v>
      </c>
      <c r="H46" s="32">
        <v>62</v>
      </c>
      <c r="I46" s="32">
        <v>62</v>
      </c>
      <c r="J46" s="153">
        <f>52.6+15.6</f>
        <v>68.2</v>
      </c>
      <c r="K46" s="33">
        <v>1577.73</v>
      </c>
      <c r="L46" s="34">
        <f t="shared" si="11"/>
        <v>97819.26</v>
      </c>
      <c r="M46" s="90">
        <f t="shared" si="2"/>
        <v>97819.26</v>
      </c>
      <c r="N46" s="90">
        <f t="shared" si="3"/>
        <v>107601.186</v>
      </c>
      <c r="O46" s="70">
        <v>45</v>
      </c>
      <c r="P46" s="71">
        <f t="shared" si="12"/>
        <v>70997.850000000006</v>
      </c>
      <c r="Q46" s="72"/>
      <c r="R46" s="73">
        <f t="shared" si="4"/>
        <v>0</v>
      </c>
      <c r="S46" s="70">
        <f t="shared" si="13"/>
        <v>45</v>
      </c>
      <c r="T46" s="74">
        <f t="shared" si="14"/>
        <v>70997.850000000006</v>
      </c>
      <c r="U46" s="75">
        <f t="shared" si="15"/>
        <v>0.72580645161290336</v>
      </c>
      <c r="V46" s="76">
        <f t="shared" si="16"/>
        <v>17</v>
      </c>
      <c r="W46" s="77">
        <f t="shared" si="17"/>
        <v>26821.41</v>
      </c>
      <c r="X46" s="78">
        <f t="shared" si="18"/>
        <v>0.27419354838709675</v>
      </c>
    </row>
    <row r="47" spans="2:26" s="5" customFormat="1" ht="24.15" customHeight="1" x14ac:dyDescent="0.35">
      <c r="B47" s="4"/>
      <c r="C47" s="28" t="s">
        <v>173</v>
      </c>
      <c r="D47" s="28" t="s">
        <v>32</v>
      </c>
      <c r="E47" s="29" t="s">
        <v>939</v>
      </c>
      <c r="F47" s="88" t="s">
        <v>940</v>
      </c>
      <c r="G47" s="31" t="s">
        <v>207</v>
      </c>
      <c r="H47" s="32">
        <v>786</v>
      </c>
      <c r="I47" s="32"/>
      <c r="J47" s="32"/>
      <c r="K47" s="33">
        <v>722</v>
      </c>
      <c r="L47" s="158">
        <f t="shared" si="11"/>
        <v>567492</v>
      </c>
      <c r="M47" s="90">
        <f t="shared" si="2"/>
        <v>0</v>
      </c>
      <c r="N47" s="90">
        <f t="shared" si="3"/>
        <v>0</v>
      </c>
      <c r="O47" s="70">
        <v>0</v>
      </c>
      <c r="P47" s="71">
        <f t="shared" si="12"/>
        <v>0</v>
      </c>
      <c r="Q47" s="72"/>
      <c r="R47" s="73">
        <f t="shared" si="4"/>
        <v>0</v>
      </c>
      <c r="S47" s="70">
        <f t="shared" si="13"/>
        <v>0</v>
      </c>
      <c r="T47" s="74">
        <f t="shared" si="14"/>
        <v>0</v>
      </c>
      <c r="U47" s="75" t="e">
        <f t="shared" si="15"/>
        <v>#DIV/0!</v>
      </c>
      <c r="V47" s="76">
        <f t="shared" si="16"/>
        <v>0</v>
      </c>
      <c r="W47" s="77">
        <f t="shared" si="17"/>
        <v>0</v>
      </c>
      <c r="X47" s="78" t="e">
        <f t="shared" si="18"/>
        <v>#DIV/0!</v>
      </c>
    </row>
    <row r="48" spans="2:26" s="5" customFormat="1" ht="16.5" customHeight="1" x14ac:dyDescent="0.35">
      <c r="B48" s="4"/>
      <c r="C48" s="38" t="s">
        <v>178</v>
      </c>
      <c r="D48" s="38" t="s">
        <v>193</v>
      </c>
      <c r="E48" s="39" t="s">
        <v>941</v>
      </c>
      <c r="F48" s="89" t="s">
        <v>942</v>
      </c>
      <c r="G48" s="41" t="s">
        <v>207</v>
      </c>
      <c r="H48" s="42">
        <v>731.34</v>
      </c>
      <c r="I48" s="42"/>
      <c r="J48" s="42"/>
      <c r="K48" s="43">
        <v>676.55</v>
      </c>
      <c r="L48" s="160">
        <f t="shared" si="11"/>
        <v>494788.08</v>
      </c>
      <c r="M48" s="91">
        <f t="shared" si="2"/>
        <v>0</v>
      </c>
      <c r="N48" s="90">
        <f t="shared" si="3"/>
        <v>0</v>
      </c>
      <c r="O48" s="70">
        <v>0</v>
      </c>
      <c r="P48" s="71">
        <f t="shared" si="12"/>
        <v>0</v>
      </c>
      <c r="Q48" s="72"/>
      <c r="R48" s="73">
        <f t="shared" si="4"/>
        <v>0</v>
      </c>
      <c r="S48" s="70">
        <f t="shared" si="13"/>
        <v>0</v>
      </c>
      <c r="T48" s="74">
        <f t="shared" si="14"/>
        <v>0</v>
      </c>
      <c r="U48" s="75" t="e">
        <f t="shared" si="15"/>
        <v>#DIV/0!</v>
      </c>
      <c r="V48" s="76">
        <f t="shared" si="16"/>
        <v>0</v>
      </c>
      <c r="W48" s="77">
        <f t="shared" si="17"/>
        <v>0</v>
      </c>
      <c r="X48" s="78" t="e">
        <f t="shared" si="18"/>
        <v>#DIV/0!</v>
      </c>
    </row>
    <row r="49" spans="2:26" s="5" customFormat="1" ht="24.15" customHeight="1" x14ac:dyDescent="0.35">
      <c r="B49" s="4"/>
      <c r="C49" s="28" t="s">
        <v>181</v>
      </c>
      <c r="D49" s="28" t="s">
        <v>32</v>
      </c>
      <c r="E49" s="29" t="s">
        <v>943</v>
      </c>
      <c r="F49" s="30" t="s">
        <v>944</v>
      </c>
      <c r="G49" s="31" t="s">
        <v>207</v>
      </c>
      <c r="H49" s="32">
        <v>5</v>
      </c>
      <c r="I49" s="32">
        <v>5</v>
      </c>
      <c r="J49" s="32">
        <v>5</v>
      </c>
      <c r="K49" s="33">
        <v>334.26</v>
      </c>
      <c r="L49" s="34">
        <f t="shared" si="11"/>
        <v>1671.3</v>
      </c>
      <c r="M49" s="90">
        <f t="shared" si="2"/>
        <v>1671.3</v>
      </c>
      <c r="N49" s="90">
        <f t="shared" si="3"/>
        <v>1671.3</v>
      </c>
      <c r="O49" s="70">
        <v>4.5</v>
      </c>
      <c r="P49" s="71">
        <f t="shared" si="12"/>
        <v>1504.17</v>
      </c>
      <c r="Q49" s="72"/>
      <c r="R49" s="73">
        <f t="shared" si="4"/>
        <v>0</v>
      </c>
      <c r="S49" s="70">
        <f t="shared" si="13"/>
        <v>4.5</v>
      </c>
      <c r="T49" s="74">
        <f t="shared" si="14"/>
        <v>1504.17</v>
      </c>
      <c r="U49" s="75">
        <f t="shared" si="15"/>
        <v>0.9</v>
      </c>
      <c r="V49" s="76">
        <f t="shared" si="16"/>
        <v>0.5</v>
      </c>
      <c r="W49" s="77">
        <f t="shared" si="17"/>
        <v>167.13</v>
      </c>
      <c r="X49" s="78">
        <f t="shared" si="18"/>
        <v>0.1</v>
      </c>
    </row>
    <row r="50" spans="2:26" s="5" customFormat="1" ht="24.15" customHeight="1" x14ac:dyDescent="0.35">
      <c r="B50" s="4"/>
      <c r="C50" s="38" t="s">
        <v>184</v>
      </c>
      <c r="D50" s="38" t="s">
        <v>193</v>
      </c>
      <c r="E50" s="39" t="s">
        <v>945</v>
      </c>
      <c r="F50" s="40" t="s">
        <v>946</v>
      </c>
      <c r="G50" s="41" t="s">
        <v>207</v>
      </c>
      <c r="H50" s="42">
        <v>5.5</v>
      </c>
      <c r="I50" s="42">
        <v>5.5</v>
      </c>
      <c r="J50" s="42">
        <v>5.5</v>
      </c>
      <c r="K50" s="43">
        <v>591.96</v>
      </c>
      <c r="L50" s="44">
        <f t="shared" si="11"/>
        <v>3255.78</v>
      </c>
      <c r="M50" s="91">
        <f t="shared" si="2"/>
        <v>3255.78</v>
      </c>
      <c r="N50" s="90">
        <f t="shared" si="3"/>
        <v>3255.78</v>
      </c>
      <c r="O50" s="70">
        <v>5</v>
      </c>
      <c r="P50" s="71">
        <f t="shared" si="12"/>
        <v>2959.8</v>
      </c>
      <c r="Q50" s="72"/>
      <c r="R50" s="73">
        <f t="shared" si="4"/>
        <v>0</v>
      </c>
      <c r="S50" s="70">
        <f t="shared" si="13"/>
        <v>5</v>
      </c>
      <c r="T50" s="74">
        <f t="shared" si="14"/>
        <v>2959.8</v>
      </c>
      <c r="U50" s="75">
        <f t="shared" si="15"/>
        <v>0.90909090909090906</v>
      </c>
      <c r="V50" s="76">
        <f t="shared" si="16"/>
        <v>0.5</v>
      </c>
      <c r="W50" s="77">
        <f t="shared" si="17"/>
        <v>295.98</v>
      </c>
      <c r="X50" s="78">
        <f t="shared" si="18"/>
        <v>9.0909090909090912E-2</v>
      </c>
    </row>
    <row r="51" spans="2:26" s="5" customFormat="1" ht="24.15" customHeight="1" x14ac:dyDescent="0.35">
      <c r="B51" s="4"/>
      <c r="C51" s="28" t="s">
        <v>187</v>
      </c>
      <c r="D51" s="28" t="s">
        <v>32</v>
      </c>
      <c r="E51" s="29" t="s">
        <v>947</v>
      </c>
      <c r="F51" s="30" t="s">
        <v>948</v>
      </c>
      <c r="G51" s="31" t="s">
        <v>207</v>
      </c>
      <c r="H51" s="32">
        <v>21</v>
      </c>
      <c r="I51" s="32">
        <v>21</v>
      </c>
      <c r="J51" s="153">
        <v>18.100000000000001</v>
      </c>
      <c r="K51" s="33">
        <v>361.01</v>
      </c>
      <c r="L51" s="34">
        <f t="shared" si="11"/>
        <v>7581.21</v>
      </c>
      <c r="M51" s="90">
        <f t="shared" si="2"/>
        <v>7581.21</v>
      </c>
      <c r="N51" s="90">
        <f t="shared" si="3"/>
        <v>6534.2809999999999</v>
      </c>
      <c r="O51" s="70">
        <v>19.95</v>
      </c>
      <c r="P51" s="71">
        <f t="shared" si="12"/>
        <v>7202.1494999999995</v>
      </c>
      <c r="Q51" s="72"/>
      <c r="R51" s="73">
        <f t="shared" si="4"/>
        <v>0</v>
      </c>
      <c r="S51" s="70">
        <f t="shared" si="13"/>
        <v>19.95</v>
      </c>
      <c r="T51" s="74">
        <f t="shared" si="14"/>
        <v>7202.1494999999995</v>
      </c>
      <c r="U51" s="75">
        <f t="shared" si="15"/>
        <v>0.95</v>
      </c>
      <c r="V51" s="76">
        <f t="shared" si="16"/>
        <v>1.0500000000000007</v>
      </c>
      <c r="W51" s="77">
        <f t="shared" si="17"/>
        <v>379.06050000000027</v>
      </c>
      <c r="X51" s="78">
        <f t="shared" si="18"/>
        <v>5.0000000000000031E-2</v>
      </c>
    </row>
    <row r="52" spans="2:26" s="5" customFormat="1" ht="21.75" customHeight="1" x14ac:dyDescent="0.35">
      <c r="B52" s="4"/>
      <c r="C52" s="38" t="s">
        <v>190</v>
      </c>
      <c r="D52" s="38" t="s">
        <v>193</v>
      </c>
      <c r="E52" s="39" t="s">
        <v>949</v>
      </c>
      <c r="F52" s="40" t="s">
        <v>950</v>
      </c>
      <c r="G52" s="41" t="s">
        <v>207</v>
      </c>
      <c r="H52" s="42">
        <v>21.63</v>
      </c>
      <c r="I52" s="42">
        <v>21.63</v>
      </c>
      <c r="J52" s="42">
        <v>21.63</v>
      </c>
      <c r="K52" s="43">
        <v>444.76</v>
      </c>
      <c r="L52" s="44">
        <f t="shared" si="11"/>
        <v>9620.16</v>
      </c>
      <c r="M52" s="91">
        <f t="shared" si="2"/>
        <v>9620.1587999999992</v>
      </c>
      <c r="N52" s="90">
        <f t="shared" si="3"/>
        <v>9620.1587999999992</v>
      </c>
      <c r="O52" s="70">
        <v>20.548499999999997</v>
      </c>
      <c r="P52" s="71">
        <f t="shared" si="12"/>
        <v>9139.1508599999979</v>
      </c>
      <c r="Q52" s="72"/>
      <c r="R52" s="73">
        <f t="shared" si="4"/>
        <v>0</v>
      </c>
      <c r="S52" s="70">
        <f t="shared" si="13"/>
        <v>20.548499999999997</v>
      </c>
      <c r="T52" s="74">
        <f t="shared" si="14"/>
        <v>9139.1508599999979</v>
      </c>
      <c r="U52" s="75">
        <f t="shared" si="15"/>
        <v>0.94999999999999984</v>
      </c>
      <c r="V52" s="76">
        <f t="shared" si="16"/>
        <v>1.0815000000000019</v>
      </c>
      <c r="W52" s="77">
        <f t="shared" si="17"/>
        <v>481.00794000000081</v>
      </c>
      <c r="X52" s="78">
        <f t="shared" si="18"/>
        <v>5.0000000000000093E-2</v>
      </c>
    </row>
    <row r="53" spans="2:26" s="5" customFormat="1" ht="24.15" customHeight="1" x14ac:dyDescent="0.35">
      <c r="B53" s="4"/>
      <c r="C53" s="28" t="s">
        <v>195</v>
      </c>
      <c r="D53" s="28" t="s">
        <v>32</v>
      </c>
      <c r="E53" s="29" t="s">
        <v>951</v>
      </c>
      <c r="F53" s="30" t="s">
        <v>952</v>
      </c>
      <c r="G53" s="31" t="s">
        <v>207</v>
      </c>
      <c r="H53" s="32">
        <v>276</v>
      </c>
      <c r="I53" s="32">
        <v>276</v>
      </c>
      <c r="J53" s="153">
        <v>248.4</v>
      </c>
      <c r="K53" s="33">
        <v>320.89</v>
      </c>
      <c r="L53" s="34">
        <f t="shared" si="11"/>
        <v>88565.64</v>
      </c>
      <c r="M53" s="90">
        <f t="shared" si="2"/>
        <v>88565.64</v>
      </c>
      <c r="N53" s="90">
        <f t="shared" si="3"/>
        <v>79709.076000000001</v>
      </c>
      <c r="O53" s="70">
        <v>262.2</v>
      </c>
      <c r="P53" s="71">
        <f t="shared" si="12"/>
        <v>84137.357999999993</v>
      </c>
      <c r="Q53" s="72"/>
      <c r="R53" s="73">
        <f t="shared" si="4"/>
        <v>0</v>
      </c>
      <c r="S53" s="70">
        <f t="shared" si="13"/>
        <v>262.2</v>
      </c>
      <c r="T53" s="74">
        <f t="shared" si="14"/>
        <v>84137.357999999993</v>
      </c>
      <c r="U53" s="75">
        <f t="shared" si="15"/>
        <v>0.95</v>
      </c>
      <c r="V53" s="76">
        <f t="shared" si="16"/>
        <v>13.800000000000011</v>
      </c>
      <c r="W53" s="77">
        <f t="shared" si="17"/>
        <v>4428.2820000000038</v>
      </c>
      <c r="X53" s="78">
        <f t="shared" si="18"/>
        <v>5.0000000000000044E-2</v>
      </c>
    </row>
    <row r="54" spans="2:26" s="5" customFormat="1" ht="16.5" customHeight="1" x14ac:dyDescent="0.35">
      <c r="B54" s="4"/>
      <c r="C54" s="38" t="s">
        <v>198</v>
      </c>
      <c r="D54" s="38" t="s">
        <v>193</v>
      </c>
      <c r="E54" s="39" t="s">
        <v>953</v>
      </c>
      <c r="F54" s="40" t="s">
        <v>954</v>
      </c>
      <c r="G54" s="41" t="s">
        <v>207</v>
      </c>
      <c r="H54" s="42">
        <v>281.52</v>
      </c>
      <c r="I54" s="42">
        <v>281.52</v>
      </c>
      <c r="J54" s="154">
        <f>J53*1.02</f>
        <v>253.36800000000002</v>
      </c>
      <c r="K54" s="43">
        <v>531.59</v>
      </c>
      <c r="L54" s="44">
        <f t="shared" si="11"/>
        <v>149653.22</v>
      </c>
      <c r="M54" s="91">
        <f t="shared" si="2"/>
        <v>149653.21679999999</v>
      </c>
      <c r="N54" s="90">
        <f t="shared" si="3"/>
        <v>134687.89512000003</v>
      </c>
      <c r="O54" s="70">
        <v>267.44399999999996</v>
      </c>
      <c r="P54" s="71">
        <f t="shared" si="12"/>
        <v>142170.55596</v>
      </c>
      <c r="Q54" s="72"/>
      <c r="R54" s="73">
        <f t="shared" si="4"/>
        <v>0</v>
      </c>
      <c r="S54" s="70">
        <f t="shared" si="13"/>
        <v>267.44399999999996</v>
      </c>
      <c r="T54" s="74">
        <f t="shared" si="14"/>
        <v>142170.55596</v>
      </c>
      <c r="U54" s="75">
        <f t="shared" si="15"/>
        <v>0.95000000000000007</v>
      </c>
      <c r="V54" s="76">
        <f t="shared" si="16"/>
        <v>14.076000000000022</v>
      </c>
      <c r="W54" s="77">
        <f t="shared" si="17"/>
        <v>7482.6608400000123</v>
      </c>
      <c r="X54" s="78">
        <f t="shared" si="18"/>
        <v>5.0000000000000079E-2</v>
      </c>
    </row>
    <row r="55" spans="2:26" s="5" customFormat="1" ht="33" customHeight="1" x14ac:dyDescent="0.35">
      <c r="B55" s="4"/>
      <c r="C55" s="28" t="s">
        <v>351</v>
      </c>
      <c r="D55" s="28" t="s">
        <v>32</v>
      </c>
      <c r="E55" s="29" t="s">
        <v>731</v>
      </c>
      <c r="F55" s="30" t="s">
        <v>732</v>
      </c>
      <c r="G55" s="31" t="s">
        <v>207</v>
      </c>
      <c r="H55" s="32">
        <v>36</v>
      </c>
      <c r="I55" s="32">
        <v>36</v>
      </c>
      <c r="J55" s="153">
        <f>10+24.8+10.5</f>
        <v>45.3</v>
      </c>
      <c r="K55" s="33">
        <v>334.26</v>
      </c>
      <c r="L55" s="34">
        <f t="shared" si="11"/>
        <v>12033.36</v>
      </c>
      <c r="M55" s="90">
        <f t="shared" si="2"/>
        <v>12033.36</v>
      </c>
      <c r="N55" s="90">
        <f t="shared" si="3"/>
        <v>15141.977999999999</v>
      </c>
      <c r="O55" s="70">
        <v>34.199999999999996</v>
      </c>
      <c r="P55" s="71">
        <f t="shared" si="12"/>
        <v>11431.691999999999</v>
      </c>
      <c r="Q55" s="72"/>
      <c r="R55" s="73">
        <f t="shared" si="4"/>
        <v>0</v>
      </c>
      <c r="S55" s="70">
        <f t="shared" si="13"/>
        <v>34.199999999999996</v>
      </c>
      <c r="T55" s="74">
        <f t="shared" si="14"/>
        <v>11431.691999999999</v>
      </c>
      <c r="U55" s="75">
        <f t="shared" si="15"/>
        <v>0.94999999999999984</v>
      </c>
      <c r="V55" s="76">
        <f t="shared" si="16"/>
        <v>1.8000000000000043</v>
      </c>
      <c r="W55" s="77">
        <f t="shared" si="17"/>
        <v>601.66800000000137</v>
      </c>
      <c r="X55" s="78">
        <f t="shared" si="18"/>
        <v>5.0000000000000121E-2</v>
      </c>
    </row>
    <row r="56" spans="2:26" s="5" customFormat="1" ht="16.5" customHeight="1" x14ac:dyDescent="0.35">
      <c r="B56" s="4"/>
      <c r="C56" s="38" t="s">
        <v>354</v>
      </c>
      <c r="D56" s="38" t="s">
        <v>193</v>
      </c>
      <c r="E56" s="39" t="s">
        <v>733</v>
      </c>
      <c r="F56" s="40" t="s">
        <v>734</v>
      </c>
      <c r="G56" s="41" t="s">
        <v>207</v>
      </c>
      <c r="H56" s="42">
        <v>40.787999999999997</v>
      </c>
      <c r="I56" s="42">
        <v>40.787999999999997</v>
      </c>
      <c r="J56" s="154">
        <v>40.787999999999997</v>
      </c>
      <c r="K56" s="43">
        <v>426.76</v>
      </c>
      <c r="L56" s="44">
        <f t="shared" si="11"/>
        <v>17406.689999999999</v>
      </c>
      <c r="M56" s="91">
        <f t="shared" si="2"/>
        <v>17406.686879999997</v>
      </c>
      <c r="N56" s="90">
        <f t="shared" si="3"/>
        <v>17406.686879999997</v>
      </c>
      <c r="O56" s="70">
        <v>38.748599999999996</v>
      </c>
      <c r="P56" s="71">
        <f t="shared" si="12"/>
        <v>16536.352535999999</v>
      </c>
      <c r="Q56" s="72"/>
      <c r="R56" s="73">
        <f t="shared" si="4"/>
        <v>0</v>
      </c>
      <c r="S56" s="70">
        <f t="shared" si="13"/>
        <v>38.748599999999996</v>
      </c>
      <c r="T56" s="74">
        <f t="shared" si="14"/>
        <v>16536.352535999999</v>
      </c>
      <c r="U56" s="75">
        <f t="shared" si="15"/>
        <v>0.95000000000000007</v>
      </c>
      <c r="V56" s="76">
        <f t="shared" si="16"/>
        <v>2.0394000000000005</v>
      </c>
      <c r="W56" s="77">
        <f t="shared" si="17"/>
        <v>870.33434400000021</v>
      </c>
      <c r="X56" s="78">
        <f t="shared" si="18"/>
        <v>5.0000000000000017E-2</v>
      </c>
    </row>
    <row r="57" spans="2:26" s="23" customFormat="1" ht="23" customHeight="1" x14ac:dyDescent="0.25">
      <c r="B57" s="22"/>
      <c r="D57" s="24" t="s">
        <v>27</v>
      </c>
      <c r="E57" s="36" t="s">
        <v>55</v>
      </c>
      <c r="F57" s="36" t="s">
        <v>246</v>
      </c>
      <c r="I57" s="23">
        <f>I54/I53</f>
        <v>1.02</v>
      </c>
      <c r="J57" s="155"/>
      <c r="K57" s="26"/>
      <c r="L57" s="37">
        <f>SUM(L58:L75)</f>
        <v>510728.36</v>
      </c>
      <c r="M57" s="37">
        <f>SUM(M58:M75)</f>
        <v>510728.35109999997</v>
      </c>
      <c r="N57" s="37">
        <f>SUM(N58:N75)</f>
        <v>562909.84039999999</v>
      </c>
      <c r="P57" s="37">
        <f>SUM(P58:P75)</f>
        <v>481200.53690499993</v>
      </c>
      <c r="R57" s="37">
        <f>SUM(R58:R75)</f>
        <v>0</v>
      </c>
      <c r="T57" s="37">
        <f>SUM(T58:T75)</f>
        <v>481200.53690499993</v>
      </c>
      <c r="W57" s="37">
        <f>SUM(W58:W75)</f>
        <v>29527.81419500001</v>
      </c>
      <c r="Z57" s="135">
        <f>M57-T57-W57</f>
        <v>3.2741809263825417E-11</v>
      </c>
    </row>
    <row r="58" spans="2:26" s="5" customFormat="1" ht="24.15" customHeight="1" x14ac:dyDescent="0.35">
      <c r="B58" s="4"/>
      <c r="C58" s="28" t="s">
        <v>359</v>
      </c>
      <c r="D58" s="28" t="s">
        <v>32</v>
      </c>
      <c r="E58" s="29" t="s">
        <v>955</v>
      </c>
      <c r="F58" s="30" t="s">
        <v>956</v>
      </c>
      <c r="G58" s="31" t="s">
        <v>272</v>
      </c>
      <c r="H58" s="32">
        <v>10</v>
      </c>
      <c r="I58" s="32">
        <v>10</v>
      </c>
      <c r="J58" s="32">
        <v>10</v>
      </c>
      <c r="K58" s="33">
        <v>133.71</v>
      </c>
      <c r="L58" s="34">
        <f t="shared" ref="L58:L75" si="19">ROUND(K58*H58,2)</f>
        <v>1337.1</v>
      </c>
      <c r="M58" s="90">
        <f t="shared" si="2"/>
        <v>1337.1000000000001</v>
      </c>
      <c r="N58" s="90">
        <f t="shared" si="3"/>
        <v>1337.1000000000001</v>
      </c>
      <c r="O58" s="70">
        <v>10</v>
      </c>
      <c r="P58" s="71">
        <f t="shared" ref="P58:P75" si="20">O58*K58</f>
        <v>1337.1000000000001</v>
      </c>
      <c r="Q58" s="72"/>
      <c r="R58" s="73">
        <f t="shared" si="4"/>
        <v>0</v>
      </c>
      <c r="S58" s="70">
        <f t="shared" ref="S58:S75" si="21">Q58+O58</f>
        <v>10</v>
      </c>
      <c r="T58" s="74">
        <f t="shared" ref="T58:T75" si="22">S58*K58</f>
        <v>1337.1000000000001</v>
      </c>
      <c r="U58" s="75">
        <f t="shared" ref="U58:U75" si="23">T58/M58</f>
        <v>1</v>
      </c>
      <c r="V58" s="76">
        <f t="shared" ref="V58:V75" si="24">I58-S58</f>
        <v>0</v>
      </c>
      <c r="W58" s="77">
        <f t="shared" ref="W58:W75" si="25">V58*K58</f>
        <v>0</v>
      </c>
      <c r="X58" s="78">
        <f t="shared" ref="X58:X75" si="26">V58/I58</f>
        <v>0</v>
      </c>
    </row>
    <row r="59" spans="2:26" s="5" customFormat="1" ht="24.15" customHeight="1" x14ac:dyDescent="0.35">
      <c r="B59" s="4"/>
      <c r="C59" s="38" t="s">
        <v>362</v>
      </c>
      <c r="D59" s="38" t="s">
        <v>193</v>
      </c>
      <c r="E59" s="39" t="s">
        <v>957</v>
      </c>
      <c r="F59" s="40" t="s">
        <v>958</v>
      </c>
      <c r="G59" s="41" t="s">
        <v>272</v>
      </c>
      <c r="H59" s="42">
        <v>2</v>
      </c>
      <c r="I59" s="42">
        <v>2</v>
      </c>
      <c r="J59" s="42">
        <v>2</v>
      </c>
      <c r="K59" s="43">
        <v>1310.32</v>
      </c>
      <c r="L59" s="44">
        <f t="shared" si="19"/>
        <v>2620.64</v>
      </c>
      <c r="M59" s="91">
        <f t="shared" si="2"/>
        <v>2620.64</v>
      </c>
      <c r="N59" s="90">
        <f t="shared" si="3"/>
        <v>2620.64</v>
      </c>
      <c r="O59" s="70">
        <v>2</v>
      </c>
      <c r="P59" s="71">
        <f t="shared" si="20"/>
        <v>2620.64</v>
      </c>
      <c r="Q59" s="72"/>
      <c r="R59" s="73">
        <f t="shared" si="4"/>
        <v>0</v>
      </c>
      <c r="S59" s="70">
        <f t="shared" si="21"/>
        <v>2</v>
      </c>
      <c r="T59" s="74">
        <f t="shared" si="22"/>
        <v>2620.64</v>
      </c>
      <c r="U59" s="75">
        <f t="shared" si="23"/>
        <v>1</v>
      </c>
      <c r="V59" s="76">
        <f t="shared" si="24"/>
        <v>0</v>
      </c>
      <c r="W59" s="77">
        <f t="shared" si="25"/>
        <v>0</v>
      </c>
      <c r="X59" s="78">
        <f t="shared" si="26"/>
        <v>0</v>
      </c>
    </row>
    <row r="60" spans="2:26" s="5" customFormat="1" ht="16.5" customHeight="1" x14ac:dyDescent="0.35">
      <c r="B60" s="4"/>
      <c r="C60" s="38" t="s">
        <v>367</v>
      </c>
      <c r="D60" s="38" t="s">
        <v>193</v>
      </c>
      <c r="E60" s="39" t="s">
        <v>959</v>
      </c>
      <c r="F60" s="40" t="s">
        <v>960</v>
      </c>
      <c r="G60" s="41" t="s">
        <v>272</v>
      </c>
      <c r="H60" s="42">
        <v>3</v>
      </c>
      <c r="I60" s="42">
        <v>3</v>
      </c>
      <c r="J60" s="42">
        <v>3</v>
      </c>
      <c r="K60" s="43">
        <v>735.38</v>
      </c>
      <c r="L60" s="44">
        <f t="shared" si="19"/>
        <v>2206.14</v>
      </c>
      <c r="M60" s="91">
        <f t="shared" si="2"/>
        <v>2206.14</v>
      </c>
      <c r="N60" s="90">
        <f t="shared" si="3"/>
        <v>2206.14</v>
      </c>
      <c r="O60" s="70">
        <v>3</v>
      </c>
      <c r="P60" s="71">
        <f t="shared" si="20"/>
        <v>2206.14</v>
      </c>
      <c r="Q60" s="72"/>
      <c r="R60" s="73">
        <f t="shared" si="4"/>
        <v>0</v>
      </c>
      <c r="S60" s="70">
        <f t="shared" si="21"/>
        <v>3</v>
      </c>
      <c r="T60" s="74">
        <f t="shared" si="22"/>
        <v>2206.14</v>
      </c>
      <c r="U60" s="75">
        <f t="shared" si="23"/>
        <v>1</v>
      </c>
      <c r="V60" s="76">
        <f t="shared" si="24"/>
        <v>0</v>
      </c>
      <c r="W60" s="77">
        <f t="shared" si="25"/>
        <v>0</v>
      </c>
      <c r="X60" s="78">
        <f t="shared" si="26"/>
        <v>0</v>
      </c>
    </row>
    <row r="61" spans="2:26" s="5" customFormat="1" ht="24.15" customHeight="1" x14ac:dyDescent="0.35">
      <c r="B61" s="4"/>
      <c r="C61" s="38" t="s">
        <v>368</v>
      </c>
      <c r="D61" s="38" t="s">
        <v>193</v>
      </c>
      <c r="E61" s="39" t="s">
        <v>961</v>
      </c>
      <c r="F61" s="40" t="s">
        <v>962</v>
      </c>
      <c r="G61" s="41" t="s">
        <v>272</v>
      </c>
      <c r="H61" s="42">
        <v>1</v>
      </c>
      <c r="I61" s="42">
        <v>1</v>
      </c>
      <c r="J61" s="42">
        <v>1</v>
      </c>
      <c r="K61" s="43">
        <v>816.94</v>
      </c>
      <c r="L61" s="44">
        <f t="shared" si="19"/>
        <v>816.94</v>
      </c>
      <c r="M61" s="91">
        <f t="shared" si="2"/>
        <v>816.94</v>
      </c>
      <c r="N61" s="90">
        <f t="shared" si="3"/>
        <v>816.94</v>
      </c>
      <c r="O61" s="70">
        <v>1</v>
      </c>
      <c r="P61" s="71">
        <f t="shared" si="20"/>
        <v>816.94</v>
      </c>
      <c r="Q61" s="72"/>
      <c r="R61" s="73">
        <f t="shared" si="4"/>
        <v>0</v>
      </c>
      <c r="S61" s="70">
        <f t="shared" si="21"/>
        <v>1</v>
      </c>
      <c r="T61" s="74">
        <f t="shared" si="22"/>
        <v>816.94</v>
      </c>
      <c r="U61" s="75">
        <f t="shared" si="23"/>
        <v>1</v>
      </c>
      <c r="V61" s="76">
        <f t="shared" si="24"/>
        <v>0</v>
      </c>
      <c r="W61" s="77">
        <f t="shared" si="25"/>
        <v>0</v>
      </c>
      <c r="X61" s="78">
        <f t="shared" si="26"/>
        <v>0</v>
      </c>
    </row>
    <row r="62" spans="2:26" s="5" customFormat="1" ht="24.15" customHeight="1" x14ac:dyDescent="0.35">
      <c r="B62" s="4"/>
      <c r="C62" s="38" t="s">
        <v>371</v>
      </c>
      <c r="D62" s="38" t="s">
        <v>193</v>
      </c>
      <c r="E62" s="39" t="s">
        <v>963</v>
      </c>
      <c r="F62" s="40" t="s">
        <v>964</v>
      </c>
      <c r="G62" s="41" t="s">
        <v>272</v>
      </c>
      <c r="H62" s="42">
        <v>1</v>
      </c>
      <c r="I62" s="42">
        <v>1</v>
      </c>
      <c r="J62" s="42">
        <v>1</v>
      </c>
      <c r="K62" s="43">
        <v>1064.3</v>
      </c>
      <c r="L62" s="44">
        <f t="shared" si="19"/>
        <v>1064.3</v>
      </c>
      <c r="M62" s="91">
        <f t="shared" si="2"/>
        <v>1064.3</v>
      </c>
      <c r="N62" s="90">
        <f t="shared" si="3"/>
        <v>1064.3</v>
      </c>
      <c r="O62" s="70">
        <v>1</v>
      </c>
      <c r="P62" s="71">
        <f t="shared" si="20"/>
        <v>1064.3</v>
      </c>
      <c r="Q62" s="72"/>
      <c r="R62" s="73">
        <f t="shared" si="4"/>
        <v>0</v>
      </c>
      <c r="S62" s="70">
        <f t="shared" si="21"/>
        <v>1</v>
      </c>
      <c r="T62" s="74">
        <f t="shared" si="22"/>
        <v>1064.3</v>
      </c>
      <c r="U62" s="75">
        <f t="shared" si="23"/>
        <v>1</v>
      </c>
      <c r="V62" s="76">
        <f t="shared" si="24"/>
        <v>0</v>
      </c>
      <c r="W62" s="77">
        <f t="shared" si="25"/>
        <v>0</v>
      </c>
      <c r="X62" s="78">
        <f t="shared" si="26"/>
        <v>0</v>
      </c>
    </row>
    <row r="63" spans="2:26" s="5" customFormat="1" ht="16.5" customHeight="1" x14ac:dyDescent="0.35">
      <c r="B63" s="4"/>
      <c r="C63" s="38" t="s">
        <v>374</v>
      </c>
      <c r="D63" s="38" t="s">
        <v>193</v>
      </c>
      <c r="E63" s="39" t="s">
        <v>965</v>
      </c>
      <c r="F63" s="40" t="s">
        <v>966</v>
      </c>
      <c r="G63" s="41" t="s">
        <v>73</v>
      </c>
      <c r="H63" s="42">
        <v>1</v>
      </c>
      <c r="I63" s="42">
        <v>1</v>
      </c>
      <c r="J63" s="42">
        <v>1</v>
      </c>
      <c r="K63" s="43">
        <v>668.52</v>
      </c>
      <c r="L63" s="44">
        <f t="shared" si="19"/>
        <v>668.52</v>
      </c>
      <c r="M63" s="91">
        <f t="shared" si="2"/>
        <v>668.52</v>
      </c>
      <c r="N63" s="90">
        <f t="shared" si="3"/>
        <v>668.52</v>
      </c>
      <c r="O63" s="70">
        <v>1</v>
      </c>
      <c r="P63" s="71">
        <f t="shared" si="20"/>
        <v>668.52</v>
      </c>
      <c r="Q63" s="72"/>
      <c r="R63" s="73">
        <f t="shared" si="4"/>
        <v>0</v>
      </c>
      <c r="S63" s="70">
        <f t="shared" si="21"/>
        <v>1</v>
      </c>
      <c r="T63" s="74">
        <f t="shared" si="22"/>
        <v>668.52</v>
      </c>
      <c r="U63" s="75">
        <f t="shared" si="23"/>
        <v>1</v>
      </c>
      <c r="V63" s="76">
        <f t="shared" si="24"/>
        <v>0</v>
      </c>
      <c r="W63" s="77">
        <f t="shared" si="25"/>
        <v>0</v>
      </c>
      <c r="X63" s="78">
        <f t="shared" si="26"/>
        <v>0</v>
      </c>
    </row>
    <row r="64" spans="2:26" s="5" customFormat="1" ht="16.5" customHeight="1" x14ac:dyDescent="0.35">
      <c r="B64" s="4"/>
      <c r="C64" s="38" t="s">
        <v>375</v>
      </c>
      <c r="D64" s="38" t="s">
        <v>193</v>
      </c>
      <c r="E64" s="39" t="s">
        <v>967</v>
      </c>
      <c r="F64" s="40" t="s">
        <v>968</v>
      </c>
      <c r="G64" s="41" t="s">
        <v>73</v>
      </c>
      <c r="H64" s="42">
        <v>2</v>
      </c>
      <c r="I64" s="42">
        <v>2</v>
      </c>
      <c r="J64" s="42">
        <v>2</v>
      </c>
      <c r="K64" s="43">
        <v>1069.6500000000001</v>
      </c>
      <c r="L64" s="44">
        <f t="shared" si="19"/>
        <v>2139.3000000000002</v>
      </c>
      <c r="M64" s="91">
        <f t="shared" si="2"/>
        <v>2139.3000000000002</v>
      </c>
      <c r="N64" s="90">
        <f t="shared" si="3"/>
        <v>2139.3000000000002</v>
      </c>
      <c r="O64" s="70">
        <v>2</v>
      </c>
      <c r="P64" s="71">
        <f t="shared" si="20"/>
        <v>2139.3000000000002</v>
      </c>
      <c r="Q64" s="72"/>
      <c r="R64" s="73">
        <f t="shared" si="4"/>
        <v>0</v>
      </c>
      <c r="S64" s="70">
        <f t="shared" si="21"/>
        <v>2</v>
      </c>
      <c r="T64" s="74">
        <f t="shared" si="22"/>
        <v>2139.3000000000002</v>
      </c>
      <c r="U64" s="75">
        <f t="shared" si="23"/>
        <v>1</v>
      </c>
      <c r="V64" s="76">
        <f t="shared" si="24"/>
        <v>0</v>
      </c>
      <c r="W64" s="77">
        <f t="shared" si="25"/>
        <v>0</v>
      </c>
      <c r="X64" s="78">
        <f t="shared" si="26"/>
        <v>0</v>
      </c>
    </row>
    <row r="65" spans="2:26" s="5" customFormat="1" ht="24.15" customHeight="1" x14ac:dyDescent="0.35">
      <c r="B65" s="4"/>
      <c r="C65" s="28" t="s">
        <v>378</v>
      </c>
      <c r="D65" s="28" t="s">
        <v>32</v>
      </c>
      <c r="E65" s="29" t="s">
        <v>969</v>
      </c>
      <c r="F65" s="30" t="s">
        <v>970</v>
      </c>
      <c r="G65" s="31" t="s">
        <v>272</v>
      </c>
      <c r="H65" s="32">
        <v>4</v>
      </c>
      <c r="I65" s="32">
        <v>4</v>
      </c>
      <c r="J65" s="32">
        <v>4</v>
      </c>
      <c r="K65" s="33">
        <v>2353.2199999999998</v>
      </c>
      <c r="L65" s="34">
        <f t="shared" si="19"/>
        <v>9412.8799999999992</v>
      </c>
      <c r="M65" s="90">
        <f t="shared" si="2"/>
        <v>9412.8799999999992</v>
      </c>
      <c r="N65" s="90">
        <f t="shared" si="3"/>
        <v>9412.8799999999992</v>
      </c>
      <c r="O65" s="70">
        <v>4</v>
      </c>
      <c r="P65" s="71">
        <f t="shared" si="20"/>
        <v>9412.8799999999992</v>
      </c>
      <c r="Q65" s="72"/>
      <c r="R65" s="73">
        <f t="shared" si="4"/>
        <v>0</v>
      </c>
      <c r="S65" s="70">
        <f t="shared" si="21"/>
        <v>4</v>
      </c>
      <c r="T65" s="74">
        <f t="shared" si="22"/>
        <v>9412.8799999999992</v>
      </c>
      <c r="U65" s="75">
        <f t="shared" si="23"/>
        <v>1</v>
      </c>
      <c r="V65" s="76">
        <f t="shared" si="24"/>
        <v>0</v>
      </c>
      <c r="W65" s="77">
        <f t="shared" si="25"/>
        <v>0</v>
      </c>
      <c r="X65" s="78">
        <f t="shared" si="26"/>
        <v>0</v>
      </c>
    </row>
    <row r="66" spans="2:26" s="5" customFormat="1" ht="21.75" customHeight="1" x14ac:dyDescent="0.35">
      <c r="B66" s="4"/>
      <c r="C66" s="38" t="s">
        <v>381</v>
      </c>
      <c r="D66" s="38" t="s">
        <v>193</v>
      </c>
      <c r="E66" s="39" t="s">
        <v>971</v>
      </c>
      <c r="F66" s="40" t="s">
        <v>972</v>
      </c>
      <c r="G66" s="41" t="s">
        <v>272</v>
      </c>
      <c r="H66" s="42">
        <v>4</v>
      </c>
      <c r="I66" s="42">
        <v>4</v>
      </c>
      <c r="J66" s="42">
        <v>4</v>
      </c>
      <c r="K66" s="43">
        <v>935.94</v>
      </c>
      <c r="L66" s="44">
        <f t="shared" si="19"/>
        <v>3743.76</v>
      </c>
      <c r="M66" s="91">
        <f t="shared" si="2"/>
        <v>3743.76</v>
      </c>
      <c r="N66" s="90">
        <f t="shared" si="3"/>
        <v>3743.76</v>
      </c>
      <c r="O66" s="70">
        <v>4</v>
      </c>
      <c r="P66" s="71">
        <f t="shared" si="20"/>
        <v>3743.76</v>
      </c>
      <c r="Q66" s="72"/>
      <c r="R66" s="73">
        <f t="shared" si="4"/>
        <v>0</v>
      </c>
      <c r="S66" s="70">
        <f t="shared" si="21"/>
        <v>4</v>
      </c>
      <c r="T66" s="74">
        <f t="shared" si="22"/>
        <v>3743.76</v>
      </c>
      <c r="U66" s="75">
        <f t="shared" si="23"/>
        <v>1</v>
      </c>
      <c r="V66" s="76">
        <f t="shared" si="24"/>
        <v>0</v>
      </c>
      <c r="W66" s="77">
        <f t="shared" si="25"/>
        <v>0</v>
      </c>
      <c r="X66" s="78">
        <f t="shared" si="26"/>
        <v>0</v>
      </c>
    </row>
    <row r="67" spans="2:26" s="5" customFormat="1" ht="33" customHeight="1" x14ac:dyDescent="0.35">
      <c r="B67" s="4"/>
      <c r="C67" s="28" t="s">
        <v>269</v>
      </c>
      <c r="D67" s="28" t="s">
        <v>32</v>
      </c>
      <c r="E67" s="29" t="s">
        <v>973</v>
      </c>
      <c r="F67" s="30" t="s">
        <v>974</v>
      </c>
      <c r="G67" s="31" t="s">
        <v>120</v>
      </c>
      <c r="H67" s="32">
        <v>568</v>
      </c>
      <c r="I67" s="32">
        <v>568</v>
      </c>
      <c r="J67" s="32">
        <f>704.4-48+25.2</f>
        <v>681.6</v>
      </c>
      <c r="K67" s="33">
        <v>314.20999999999998</v>
      </c>
      <c r="L67" s="34">
        <f t="shared" si="19"/>
        <v>178471.28</v>
      </c>
      <c r="M67" s="90">
        <f t="shared" si="2"/>
        <v>178471.28</v>
      </c>
      <c r="N67" s="90">
        <f t="shared" si="3"/>
        <v>214165.53599999999</v>
      </c>
      <c r="O67" s="70">
        <v>539.6</v>
      </c>
      <c r="P67" s="71">
        <f t="shared" si="20"/>
        <v>169547.71599999999</v>
      </c>
      <c r="Q67" s="72"/>
      <c r="R67" s="73">
        <f t="shared" si="4"/>
        <v>0</v>
      </c>
      <c r="S67" s="70">
        <f t="shared" si="21"/>
        <v>539.6</v>
      </c>
      <c r="T67" s="74">
        <f t="shared" si="22"/>
        <v>169547.71599999999</v>
      </c>
      <c r="U67" s="75">
        <f t="shared" si="23"/>
        <v>0.95</v>
      </c>
      <c r="V67" s="76">
        <f t="shared" si="24"/>
        <v>28.399999999999977</v>
      </c>
      <c r="W67" s="77">
        <f t="shared" si="25"/>
        <v>8923.563999999993</v>
      </c>
      <c r="X67" s="78">
        <f t="shared" si="26"/>
        <v>4.9999999999999961E-2</v>
      </c>
    </row>
    <row r="68" spans="2:26" s="5" customFormat="1" ht="16.5" customHeight="1" x14ac:dyDescent="0.35">
      <c r="B68" s="4"/>
      <c r="C68" s="38" t="s">
        <v>382</v>
      </c>
      <c r="D68" s="38" t="s">
        <v>193</v>
      </c>
      <c r="E68" s="39" t="s">
        <v>975</v>
      </c>
      <c r="F68" s="40" t="s">
        <v>976</v>
      </c>
      <c r="G68" s="41" t="s">
        <v>120</v>
      </c>
      <c r="H68" s="42">
        <v>76.5</v>
      </c>
      <c r="I68" s="42">
        <v>76.5</v>
      </c>
      <c r="J68" s="42">
        <f>J67-J69</f>
        <v>173.81</v>
      </c>
      <c r="K68" s="43">
        <v>169.43</v>
      </c>
      <c r="L68" s="44">
        <f t="shared" si="19"/>
        <v>12961.4</v>
      </c>
      <c r="M68" s="91">
        <f t="shared" si="2"/>
        <v>12961.395</v>
      </c>
      <c r="N68" s="90">
        <f t="shared" si="3"/>
        <v>29448.6283</v>
      </c>
      <c r="O68" s="70">
        <v>72.674999999999997</v>
      </c>
      <c r="P68" s="71">
        <f t="shared" si="20"/>
        <v>12313.32525</v>
      </c>
      <c r="Q68" s="72"/>
      <c r="R68" s="73">
        <f t="shared" si="4"/>
        <v>0</v>
      </c>
      <c r="S68" s="70">
        <f t="shared" si="21"/>
        <v>72.674999999999997</v>
      </c>
      <c r="T68" s="74">
        <f t="shared" si="22"/>
        <v>12313.32525</v>
      </c>
      <c r="U68" s="75">
        <f t="shared" si="23"/>
        <v>0.95</v>
      </c>
      <c r="V68" s="76">
        <f t="shared" si="24"/>
        <v>3.8250000000000028</v>
      </c>
      <c r="W68" s="77">
        <f t="shared" si="25"/>
        <v>648.06975000000045</v>
      </c>
      <c r="X68" s="78">
        <f t="shared" si="26"/>
        <v>5.0000000000000037E-2</v>
      </c>
    </row>
    <row r="69" spans="2:26" s="5" customFormat="1" ht="16.5" customHeight="1" x14ac:dyDescent="0.35">
      <c r="B69" s="4"/>
      <c r="C69" s="38" t="s">
        <v>383</v>
      </c>
      <c r="D69" s="38" t="s">
        <v>193</v>
      </c>
      <c r="E69" s="39" t="s">
        <v>977</v>
      </c>
      <c r="F69" s="40" t="s">
        <v>978</v>
      </c>
      <c r="G69" s="41" t="s">
        <v>120</v>
      </c>
      <c r="H69" s="42">
        <v>507.79</v>
      </c>
      <c r="I69" s="42">
        <v>507.79</v>
      </c>
      <c r="J69" s="42">
        <v>507.79</v>
      </c>
      <c r="K69" s="43">
        <v>145.07</v>
      </c>
      <c r="L69" s="44">
        <f t="shared" si="19"/>
        <v>73665.100000000006</v>
      </c>
      <c r="M69" s="91">
        <f t="shared" si="2"/>
        <v>73665.095300000001</v>
      </c>
      <c r="N69" s="90">
        <f t="shared" si="3"/>
        <v>73665.095300000001</v>
      </c>
      <c r="O69" s="70">
        <v>482.40049999999997</v>
      </c>
      <c r="P69" s="71">
        <f t="shared" si="20"/>
        <v>69981.840534999996</v>
      </c>
      <c r="Q69" s="72"/>
      <c r="R69" s="73">
        <f t="shared" si="4"/>
        <v>0</v>
      </c>
      <c r="S69" s="70">
        <f t="shared" si="21"/>
        <v>482.40049999999997</v>
      </c>
      <c r="T69" s="74">
        <f t="shared" si="22"/>
        <v>69981.840534999996</v>
      </c>
      <c r="U69" s="75">
        <f t="shared" si="23"/>
        <v>0.95</v>
      </c>
      <c r="V69" s="76">
        <f t="shared" si="24"/>
        <v>25.389500000000055</v>
      </c>
      <c r="W69" s="77">
        <f t="shared" si="25"/>
        <v>3683.2547650000079</v>
      </c>
      <c r="X69" s="78">
        <f t="shared" si="26"/>
        <v>5.0000000000000107E-2</v>
      </c>
    </row>
    <row r="70" spans="2:26" s="5" customFormat="1" ht="24.15" customHeight="1" x14ac:dyDescent="0.35">
      <c r="B70" s="4"/>
      <c r="C70" s="28" t="s">
        <v>384</v>
      </c>
      <c r="D70" s="28" t="s">
        <v>32</v>
      </c>
      <c r="E70" s="29" t="s">
        <v>979</v>
      </c>
      <c r="F70" s="30" t="s">
        <v>980</v>
      </c>
      <c r="G70" s="31" t="s">
        <v>120</v>
      </c>
      <c r="H70" s="32">
        <v>24</v>
      </c>
      <c r="I70" s="32">
        <v>24</v>
      </c>
      <c r="J70" s="32">
        <v>24</v>
      </c>
      <c r="K70" s="33">
        <v>441.23</v>
      </c>
      <c r="L70" s="34">
        <f t="shared" si="19"/>
        <v>10589.52</v>
      </c>
      <c r="M70" s="90">
        <f t="shared" si="2"/>
        <v>10589.52</v>
      </c>
      <c r="N70" s="90">
        <f t="shared" si="3"/>
        <v>10589.52</v>
      </c>
      <c r="O70" s="70">
        <v>0</v>
      </c>
      <c r="P70" s="71">
        <f t="shared" si="20"/>
        <v>0</v>
      </c>
      <c r="Q70" s="72"/>
      <c r="R70" s="73">
        <f t="shared" si="4"/>
        <v>0</v>
      </c>
      <c r="S70" s="70">
        <f t="shared" si="21"/>
        <v>0</v>
      </c>
      <c r="T70" s="74">
        <f t="shared" si="22"/>
        <v>0</v>
      </c>
      <c r="U70" s="75">
        <f t="shared" si="23"/>
        <v>0</v>
      </c>
      <c r="V70" s="76">
        <f t="shared" si="24"/>
        <v>24</v>
      </c>
      <c r="W70" s="77">
        <f t="shared" si="25"/>
        <v>10589.52</v>
      </c>
      <c r="X70" s="78">
        <f t="shared" si="26"/>
        <v>1</v>
      </c>
    </row>
    <row r="71" spans="2:26" s="5" customFormat="1" ht="16.5" customHeight="1" x14ac:dyDescent="0.35">
      <c r="B71" s="4"/>
      <c r="C71" s="38" t="s">
        <v>385</v>
      </c>
      <c r="D71" s="38" t="s">
        <v>193</v>
      </c>
      <c r="E71" s="39" t="s">
        <v>981</v>
      </c>
      <c r="F71" s="40" t="s">
        <v>982</v>
      </c>
      <c r="G71" s="41" t="s">
        <v>120</v>
      </c>
      <c r="H71" s="42">
        <v>24.72</v>
      </c>
      <c r="I71" s="42">
        <v>24.72</v>
      </c>
      <c r="J71" s="42">
        <v>24.72</v>
      </c>
      <c r="K71" s="43">
        <v>76.209999999999994</v>
      </c>
      <c r="L71" s="44">
        <f t="shared" si="19"/>
        <v>1883.91</v>
      </c>
      <c r="M71" s="91">
        <f t="shared" si="2"/>
        <v>1883.9111999999998</v>
      </c>
      <c r="N71" s="90">
        <f t="shared" si="3"/>
        <v>1883.9111999999998</v>
      </c>
      <c r="O71" s="70">
        <v>0</v>
      </c>
      <c r="P71" s="71">
        <f t="shared" si="20"/>
        <v>0</v>
      </c>
      <c r="Q71" s="72"/>
      <c r="R71" s="73">
        <f t="shared" si="4"/>
        <v>0</v>
      </c>
      <c r="S71" s="70">
        <f t="shared" si="21"/>
        <v>0</v>
      </c>
      <c r="T71" s="74">
        <f t="shared" si="22"/>
        <v>0</v>
      </c>
      <c r="U71" s="75">
        <f t="shared" si="23"/>
        <v>0</v>
      </c>
      <c r="V71" s="76">
        <f t="shared" si="24"/>
        <v>24.72</v>
      </c>
      <c r="W71" s="77">
        <f t="shared" si="25"/>
        <v>1883.9111999999998</v>
      </c>
      <c r="X71" s="78">
        <f t="shared" si="26"/>
        <v>1</v>
      </c>
    </row>
    <row r="72" spans="2:26" s="5" customFormat="1" ht="24.15" customHeight="1" x14ac:dyDescent="0.35">
      <c r="B72" s="4"/>
      <c r="C72" s="28" t="s">
        <v>386</v>
      </c>
      <c r="D72" s="28" t="s">
        <v>32</v>
      </c>
      <c r="E72" s="29" t="s">
        <v>983</v>
      </c>
      <c r="F72" s="30" t="s">
        <v>984</v>
      </c>
      <c r="G72" s="31" t="s">
        <v>214</v>
      </c>
      <c r="H72" s="32">
        <v>17.760000000000002</v>
      </c>
      <c r="I72" s="32">
        <v>17.760000000000002</v>
      </c>
      <c r="J72" s="32">
        <v>17.760000000000002</v>
      </c>
      <c r="K72" s="33">
        <v>4278.71</v>
      </c>
      <c r="L72" s="34">
        <f t="shared" si="19"/>
        <v>75989.89</v>
      </c>
      <c r="M72" s="90">
        <f t="shared" si="2"/>
        <v>75989.88960000001</v>
      </c>
      <c r="N72" s="90">
        <f t="shared" si="3"/>
        <v>75989.88960000001</v>
      </c>
      <c r="O72" s="70">
        <v>16.872</v>
      </c>
      <c r="P72" s="71">
        <f t="shared" si="20"/>
        <v>72190.395120000001</v>
      </c>
      <c r="Q72" s="72"/>
      <c r="R72" s="73">
        <f t="shared" si="4"/>
        <v>0</v>
      </c>
      <c r="S72" s="70">
        <f t="shared" si="21"/>
        <v>16.872</v>
      </c>
      <c r="T72" s="74">
        <f t="shared" si="22"/>
        <v>72190.395120000001</v>
      </c>
      <c r="U72" s="75">
        <f t="shared" si="23"/>
        <v>0.94999999999999984</v>
      </c>
      <c r="V72" s="76">
        <f t="shared" si="24"/>
        <v>0.88800000000000168</v>
      </c>
      <c r="W72" s="77">
        <f t="shared" si="25"/>
        <v>3799.4944800000071</v>
      </c>
      <c r="X72" s="78">
        <f t="shared" si="26"/>
        <v>5.0000000000000093E-2</v>
      </c>
    </row>
    <row r="73" spans="2:26" s="5" customFormat="1" ht="16.5" customHeight="1" x14ac:dyDescent="0.35">
      <c r="B73" s="4"/>
      <c r="C73" s="28" t="s">
        <v>390</v>
      </c>
      <c r="D73" s="28" t="s">
        <v>32</v>
      </c>
      <c r="E73" s="29" t="s">
        <v>985</v>
      </c>
      <c r="F73" s="30" t="s">
        <v>986</v>
      </c>
      <c r="G73" s="31" t="s">
        <v>120</v>
      </c>
      <c r="H73" s="32">
        <v>19</v>
      </c>
      <c r="I73" s="32">
        <v>19</v>
      </c>
      <c r="J73" s="159">
        <v>19</v>
      </c>
      <c r="K73" s="33">
        <v>6952.71</v>
      </c>
      <c r="L73" s="34">
        <f t="shared" si="19"/>
        <v>132101.49</v>
      </c>
      <c r="M73" s="90">
        <f t="shared" si="2"/>
        <v>132101.49</v>
      </c>
      <c r="N73" s="90">
        <f t="shared" si="3"/>
        <v>132101.49</v>
      </c>
      <c r="O73" s="70">
        <v>19</v>
      </c>
      <c r="P73" s="71">
        <f t="shared" si="20"/>
        <v>132101.49</v>
      </c>
      <c r="Q73" s="72"/>
      <c r="R73" s="73">
        <f t="shared" si="4"/>
        <v>0</v>
      </c>
      <c r="S73" s="70">
        <f t="shared" si="21"/>
        <v>19</v>
      </c>
      <c r="T73" s="74">
        <f t="shared" si="22"/>
        <v>132101.49</v>
      </c>
      <c r="U73" s="75">
        <f t="shared" si="23"/>
        <v>1</v>
      </c>
      <c r="V73" s="76">
        <f t="shared" si="24"/>
        <v>0</v>
      </c>
      <c r="W73" s="77">
        <f t="shared" si="25"/>
        <v>0</v>
      </c>
      <c r="X73" s="78">
        <f t="shared" si="26"/>
        <v>0</v>
      </c>
    </row>
    <row r="74" spans="2:26" s="5" customFormat="1" ht="24.15" customHeight="1" x14ac:dyDescent="0.35">
      <c r="B74" s="4"/>
      <c r="C74" s="28" t="s">
        <v>391</v>
      </c>
      <c r="D74" s="28" t="s">
        <v>32</v>
      </c>
      <c r="E74" s="29" t="s">
        <v>987</v>
      </c>
      <c r="F74" s="30" t="s">
        <v>988</v>
      </c>
      <c r="G74" s="31" t="s">
        <v>272</v>
      </c>
      <c r="H74" s="32">
        <v>2</v>
      </c>
      <c r="I74" s="32">
        <v>2</v>
      </c>
      <c r="J74" s="32">
        <v>2</v>
      </c>
      <c r="K74" s="33">
        <v>66.83</v>
      </c>
      <c r="L74" s="34">
        <f t="shared" si="19"/>
        <v>133.66</v>
      </c>
      <c r="M74" s="90">
        <f t="shared" si="2"/>
        <v>133.66</v>
      </c>
      <c r="N74" s="90">
        <f t="shared" si="3"/>
        <v>133.66</v>
      </c>
      <c r="O74" s="70">
        <v>2</v>
      </c>
      <c r="P74" s="71">
        <f t="shared" si="20"/>
        <v>133.66</v>
      </c>
      <c r="Q74" s="72"/>
      <c r="R74" s="73">
        <f t="shared" si="4"/>
        <v>0</v>
      </c>
      <c r="S74" s="70">
        <f t="shared" si="21"/>
        <v>2</v>
      </c>
      <c r="T74" s="74">
        <f t="shared" si="22"/>
        <v>133.66</v>
      </c>
      <c r="U74" s="75">
        <f t="shared" si="23"/>
        <v>1</v>
      </c>
      <c r="V74" s="76">
        <f t="shared" si="24"/>
        <v>0</v>
      </c>
      <c r="W74" s="77">
        <f t="shared" si="25"/>
        <v>0</v>
      </c>
      <c r="X74" s="78">
        <f t="shared" si="26"/>
        <v>0</v>
      </c>
    </row>
    <row r="75" spans="2:26" s="5" customFormat="1" ht="38" customHeight="1" x14ac:dyDescent="0.35">
      <c r="B75" s="4"/>
      <c r="C75" s="28" t="s">
        <v>307</v>
      </c>
      <c r="D75" s="28" t="s">
        <v>32</v>
      </c>
      <c r="E75" s="29" t="s">
        <v>989</v>
      </c>
      <c r="F75" s="30" t="s">
        <v>990</v>
      </c>
      <c r="G75" s="31" t="s">
        <v>207</v>
      </c>
      <c r="H75" s="32">
        <v>69</v>
      </c>
      <c r="I75" s="32">
        <v>69</v>
      </c>
      <c r="J75" s="32">
        <v>69</v>
      </c>
      <c r="K75" s="33">
        <v>13.37</v>
      </c>
      <c r="L75" s="34">
        <f t="shared" si="19"/>
        <v>922.53</v>
      </c>
      <c r="M75" s="90">
        <f t="shared" si="2"/>
        <v>922.53</v>
      </c>
      <c r="N75" s="90">
        <f t="shared" si="3"/>
        <v>922.53</v>
      </c>
      <c r="O75" s="70">
        <v>69</v>
      </c>
      <c r="P75" s="71">
        <f t="shared" si="20"/>
        <v>922.53</v>
      </c>
      <c r="Q75" s="72"/>
      <c r="R75" s="73">
        <f t="shared" si="4"/>
        <v>0</v>
      </c>
      <c r="S75" s="70">
        <f t="shared" si="21"/>
        <v>69</v>
      </c>
      <c r="T75" s="74">
        <f t="shared" si="22"/>
        <v>922.53</v>
      </c>
      <c r="U75" s="75">
        <f t="shared" si="23"/>
        <v>1</v>
      </c>
      <c r="V75" s="76">
        <f t="shared" si="24"/>
        <v>0</v>
      </c>
      <c r="W75" s="77">
        <f t="shared" si="25"/>
        <v>0</v>
      </c>
      <c r="X75" s="78">
        <f t="shared" si="26"/>
        <v>0</v>
      </c>
    </row>
    <row r="76" spans="2:26" s="23" customFormat="1" ht="23" customHeight="1" x14ac:dyDescent="0.25">
      <c r="B76" s="22"/>
      <c r="D76" s="24" t="s">
        <v>27</v>
      </c>
      <c r="E76" s="36" t="s">
        <v>251</v>
      </c>
      <c r="F76" s="36" t="s">
        <v>252</v>
      </c>
      <c r="K76" s="26"/>
      <c r="L76" s="37">
        <f>SUM(L77:L81)</f>
        <v>110669.95999999999</v>
      </c>
      <c r="M76" s="37">
        <f>SUM(M77:M81)</f>
        <v>130652.74460000001</v>
      </c>
      <c r="N76" s="37">
        <f>SUM(N77:N81)</f>
        <v>130652.74460000001</v>
      </c>
      <c r="P76" s="37">
        <f>SUM(P77:P81)</f>
        <v>105136.46029</v>
      </c>
      <c r="R76" s="37">
        <f>SUM(R77:R81)</f>
        <v>0</v>
      </c>
      <c r="T76" s="37">
        <f>SUM(T77:T81)</f>
        <v>105136.46029</v>
      </c>
      <c r="W76" s="37">
        <f>SUM(W77:W81)</f>
        <v>25516.284309999995</v>
      </c>
      <c r="Z76" s="135">
        <f>M76-T76-W76</f>
        <v>0</v>
      </c>
    </row>
    <row r="77" spans="2:26" s="5" customFormat="1" ht="21.75" customHeight="1" x14ac:dyDescent="0.35">
      <c r="B77" s="4"/>
      <c r="C77" s="28" t="s">
        <v>305</v>
      </c>
      <c r="D77" s="28" t="s">
        <v>32</v>
      </c>
      <c r="E77" s="29" t="s">
        <v>253</v>
      </c>
      <c r="F77" s="30" t="s">
        <v>254</v>
      </c>
      <c r="G77" s="31" t="s">
        <v>223</v>
      </c>
      <c r="H77" s="32">
        <v>307.94499999999999</v>
      </c>
      <c r="I77" s="32">
        <v>360.38499999999999</v>
      </c>
      <c r="J77" s="32">
        <v>360.38499999999999</v>
      </c>
      <c r="K77" s="33">
        <v>113.65</v>
      </c>
      <c r="L77" s="34">
        <f>ROUND(K77*H77,2)</f>
        <v>34997.949999999997</v>
      </c>
      <c r="M77" s="90">
        <f t="shared" si="2"/>
        <v>40957.755250000002</v>
      </c>
      <c r="N77" s="90">
        <f t="shared" si="3"/>
        <v>40957.755250000002</v>
      </c>
      <c r="O77" s="70">
        <v>292.54775000000001</v>
      </c>
      <c r="P77" s="71">
        <f>O77*K77</f>
        <v>33248.051787500001</v>
      </c>
      <c r="Q77" s="72"/>
      <c r="R77" s="73">
        <f t="shared" si="4"/>
        <v>0</v>
      </c>
      <c r="S77" s="70">
        <f>Q77+O77</f>
        <v>292.54775000000001</v>
      </c>
      <c r="T77" s="74">
        <f>S77*K77</f>
        <v>33248.051787500001</v>
      </c>
      <c r="U77" s="75">
        <f>T77/M77</f>
        <v>0.81176450185218585</v>
      </c>
      <c r="V77" s="76">
        <f>I77-S77</f>
        <v>67.837249999999983</v>
      </c>
      <c r="W77" s="77">
        <f>V77*K77</f>
        <v>7709.7034624999987</v>
      </c>
      <c r="X77" s="78">
        <f>V77/I77</f>
        <v>0.1882354981478141</v>
      </c>
    </row>
    <row r="78" spans="2:26" s="5" customFormat="1" ht="24.15" customHeight="1" x14ac:dyDescent="0.35">
      <c r="B78" s="4"/>
      <c r="C78" s="28" t="s">
        <v>303</v>
      </c>
      <c r="D78" s="28" t="s">
        <v>32</v>
      </c>
      <c r="E78" s="29" t="s">
        <v>255</v>
      </c>
      <c r="F78" s="30" t="s">
        <v>256</v>
      </c>
      <c r="G78" s="31" t="s">
        <v>223</v>
      </c>
      <c r="H78" s="32">
        <v>5056.0749999999998</v>
      </c>
      <c r="I78" s="32">
        <v>5056.0749999999998</v>
      </c>
      <c r="J78" s="32">
        <v>5056.0749999999998</v>
      </c>
      <c r="K78" s="33">
        <v>1.34</v>
      </c>
      <c r="L78" s="34">
        <f>ROUND(K78*H78,2)</f>
        <v>6775.14</v>
      </c>
      <c r="M78" s="90">
        <f t="shared" si="2"/>
        <v>6775.1405000000004</v>
      </c>
      <c r="N78" s="90">
        <f t="shared" si="3"/>
        <v>6775.1405000000004</v>
      </c>
      <c r="O78" s="70">
        <v>4803.2712499999998</v>
      </c>
      <c r="P78" s="71">
        <f>O78*K78</f>
        <v>6436.3834750000005</v>
      </c>
      <c r="Q78" s="72"/>
      <c r="R78" s="73">
        <f t="shared" si="4"/>
        <v>0</v>
      </c>
      <c r="S78" s="70">
        <f>Q78+O78</f>
        <v>4803.2712499999998</v>
      </c>
      <c r="T78" s="74">
        <f>S78*K78</f>
        <v>6436.3834750000005</v>
      </c>
      <c r="U78" s="75">
        <f>T78/M78</f>
        <v>0.95000000000000007</v>
      </c>
      <c r="V78" s="76">
        <f>I78-S78</f>
        <v>252.80375000000004</v>
      </c>
      <c r="W78" s="77">
        <f>V78*K78</f>
        <v>338.75702500000006</v>
      </c>
      <c r="X78" s="78">
        <f>V78/I78</f>
        <v>5.000000000000001E-2</v>
      </c>
    </row>
    <row r="79" spans="2:26" s="5" customFormat="1" ht="24.15" customHeight="1" x14ac:dyDescent="0.35">
      <c r="B79" s="4"/>
      <c r="C79" s="28" t="s">
        <v>392</v>
      </c>
      <c r="D79" s="28" t="s">
        <v>32</v>
      </c>
      <c r="E79" s="29" t="s">
        <v>991</v>
      </c>
      <c r="F79" s="30" t="s">
        <v>992</v>
      </c>
      <c r="G79" s="31" t="s">
        <v>223</v>
      </c>
      <c r="H79" s="32">
        <v>22.08</v>
      </c>
      <c r="I79" s="32">
        <v>22.08</v>
      </c>
      <c r="J79" s="32">
        <v>22.08</v>
      </c>
      <c r="K79" s="33">
        <v>80.22</v>
      </c>
      <c r="L79" s="34">
        <f>ROUND(K79*H79,2)</f>
        <v>1771.26</v>
      </c>
      <c r="M79" s="90">
        <f t="shared" si="2"/>
        <v>1771.2575999999999</v>
      </c>
      <c r="N79" s="90">
        <f t="shared" si="3"/>
        <v>1771.2575999999999</v>
      </c>
      <c r="O79" s="70">
        <v>20.975999999999999</v>
      </c>
      <c r="P79" s="71">
        <f>O79*K79</f>
        <v>1682.69472</v>
      </c>
      <c r="Q79" s="72"/>
      <c r="R79" s="73">
        <f t="shared" si="4"/>
        <v>0</v>
      </c>
      <c r="S79" s="70">
        <f>Q79+O79</f>
        <v>20.975999999999999</v>
      </c>
      <c r="T79" s="74">
        <f>S79*K79</f>
        <v>1682.69472</v>
      </c>
      <c r="U79" s="75">
        <f>T79/M79</f>
        <v>0.95000000000000007</v>
      </c>
      <c r="V79" s="76">
        <f>I79-S79</f>
        <v>1.1039999999999992</v>
      </c>
      <c r="W79" s="77">
        <f>V79*K79</f>
        <v>88.562879999999936</v>
      </c>
      <c r="X79" s="78">
        <f>V79/I79</f>
        <v>4.9999999999999968E-2</v>
      </c>
    </row>
    <row r="80" spans="2:26" s="5" customFormat="1" ht="16.5" customHeight="1" x14ac:dyDescent="0.35">
      <c r="B80" s="4"/>
      <c r="C80" s="28" t="s">
        <v>85</v>
      </c>
      <c r="D80" s="28" t="s">
        <v>32</v>
      </c>
      <c r="E80" s="29" t="s">
        <v>993</v>
      </c>
      <c r="F80" s="30" t="s">
        <v>994</v>
      </c>
      <c r="G80" s="31" t="s">
        <v>223</v>
      </c>
      <c r="H80" s="32">
        <v>25.274999999999999</v>
      </c>
      <c r="I80" s="32">
        <v>25.274999999999999</v>
      </c>
      <c r="J80" s="32">
        <v>25.274999999999999</v>
      </c>
      <c r="K80" s="33">
        <v>132.37</v>
      </c>
      <c r="L80" s="34">
        <f>ROUND(K80*H80,2)</f>
        <v>3345.65</v>
      </c>
      <c r="M80" s="90">
        <f t="shared" si="2"/>
        <v>3345.65175</v>
      </c>
      <c r="N80" s="90">
        <f t="shared" si="3"/>
        <v>3345.65175</v>
      </c>
      <c r="O80" s="70">
        <v>24.011249999999997</v>
      </c>
      <c r="P80" s="71">
        <f>O80*K80</f>
        <v>3178.3691624999997</v>
      </c>
      <c r="Q80" s="72"/>
      <c r="R80" s="73">
        <f t="shared" si="4"/>
        <v>0</v>
      </c>
      <c r="S80" s="70">
        <f>Q80+O80</f>
        <v>24.011249999999997</v>
      </c>
      <c r="T80" s="74">
        <f>S80*K80</f>
        <v>3178.3691624999997</v>
      </c>
      <c r="U80" s="75">
        <f>T80/M80</f>
        <v>0.95</v>
      </c>
      <c r="V80" s="76">
        <f>I80-S80</f>
        <v>1.2637500000000017</v>
      </c>
      <c r="W80" s="77">
        <f>V80*K80</f>
        <v>167.28258750000023</v>
      </c>
      <c r="X80" s="78">
        <f>V80/I80</f>
        <v>5.0000000000000072E-2</v>
      </c>
    </row>
    <row r="81" spans="2:26" s="5" customFormat="1" ht="16.5" customHeight="1" x14ac:dyDescent="0.35">
      <c r="B81" s="4"/>
      <c r="C81" s="28" t="s">
        <v>393</v>
      </c>
      <c r="D81" s="28" t="s">
        <v>32</v>
      </c>
      <c r="E81" s="29" t="s">
        <v>257</v>
      </c>
      <c r="F81" s="30" t="s">
        <v>258</v>
      </c>
      <c r="G81" s="31" t="s">
        <v>223</v>
      </c>
      <c r="H81" s="32">
        <v>238.51</v>
      </c>
      <c r="I81" s="32">
        <v>290.95</v>
      </c>
      <c r="J81" s="32">
        <v>290.95</v>
      </c>
      <c r="K81" s="33">
        <v>267.41000000000003</v>
      </c>
      <c r="L81" s="34">
        <f>ROUND(K81*H81,2)</f>
        <v>63779.96</v>
      </c>
      <c r="M81" s="90">
        <f t="shared" si="2"/>
        <v>77802.939500000008</v>
      </c>
      <c r="N81" s="90">
        <f t="shared" si="3"/>
        <v>77802.939500000008</v>
      </c>
      <c r="O81" s="70">
        <v>226.58449999999999</v>
      </c>
      <c r="P81" s="71">
        <f>O81*K81</f>
        <v>60590.961145000001</v>
      </c>
      <c r="Q81" s="72"/>
      <c r="R81" s="73">
        <f t="shared" si="4"/>
        <v>0</v>
      </c>
      <c r="S81" s="70">
        <f>Q81+O81</f>
        <v>226.58449999999999</v>
      </c>
      <c r="T81" s="74">
        <f>S81*K81</f>
        <v>60590.961145000001</v>
      </c>
      <c r="U81" s="75">
        <f>T81/M81</f>
        <v>0.77877470355731215</v>
      </c>
      <c r="V81" s="76">
        <f>I81-S81</f>
        <v>64.365499999999997</v>
      </c>
      <c r="W81" s="77">
        <f>V81*K81</f>
        <v>17211.978354999999</v>
      </c>
      <c r="X81" s="78">
        <f>V81/I81</f>
        <v>0.22122529644268774</v>
      </c>
    </row>
    <row r="82" spans="2:26" s="23" customFormat="1" ht="23" customHeight="1" x14ac:dyDescent="0.25">
      <c r="B82" s="22"/>
      <c r="D82" s="24" t="s">
        <v>27</v>
      </c>
      <c r="E82" s="36" t="s">
        <v>259</v>
      </c>
      <c r="F82" s="36" t="s">
        <v>260</v>
      </c>
      <c r="K82" s="26"/>
      <c r="L82" s="37">
        <f>SUM(L83)</f>
        <v>7170.37</v>
      </c>
      <c r="M82" s="37">
        <f>SUM(M83)</f>
        <v>246225.03521</v>
      </c>
      <c r="N82" s="37">
        <f>SUM(N83)</f>
        <v>250252.72096999999</v>
      </c>
      <c r="P82" s="37">
        <f>SUM(P83)</f>
        <v>246134.85255450002</v>
      </c>
      <c r="R82" s="37">
        <f>SUM(R83)</f>
        <v>0</v>
      </c>
      <c r="T82" s="37">
        <f>SUM(T83)</f>
        <v>246134.85255450002</v>
      </c>
      <c r="W82" s="37">
        <f>SUM(W83)</f>
        <v>90.182655499984349</v>
      </c>
      <c r="Z82" s="135">
        <f>M82-T82-W82</f>
        <v>1.7905676941154525E-12</v>
      </c>
    </row>
    <row r="83" spans="2:26" s="5" customFormat="1" ht="24.15" customHeight="1" x14ac:dyDescent="0.35">
      <c r="B83" s="4"/>
      <c r="C83" s="28" t="s">
        <v>395</v>
      </c>
      <c r="D83" s="28" t="s">
        <v>32</v>
      </c>
      <c r="E83" s="29" t="s">
        <v>261</v>
      </c>
      <c r="F83" s="30" t="s">
        <v>262</v>
      </c>
      <c r="G83" s="31" t="s">
        <v>223</v>
      </c>
      <c r="H83" s="32">
        <v>536.303</v>
      </c>
      <c r="I83" s="32">
        <v>18416.233</v>
      </c>
      <c r="J83" s="32">
        <f>18416.233+301.248</f>
        <v>18717.481</v>
      </c>
      <c r="K83" s="33">
        <v>13.37</v>
      </c>
      <c r="L83" s="34">
        <f>ROUND(K83*H83,2)</f>
        <v>7170.37</v>
      </c>
      <c r="M83" s="90">
        <f t="shared" si="2"/>
        <v>246225.03521</v>
      </c>
      <c r="N83" s="90">
        <f t="shared" si="3"/>
        <v>250252.72096999999</v>
      </c>
      <c r="O83" s="70">
        <v>18409.487850000001</v>
      </c>
      <c r="P83" s="71">
        <f>O83*K83</f>
        <v>246134.85255450002</v>
      </c>
      <c r="Q83" s="72"/>
      <c r="R83" s="73">
        <f t="shared" si="4"/>
        <v>0</v>
      </c>
      <c r="S83" s="70">
        <f>Q83+O83</f>
        <v>18409.487850000001</v>
      </c>
      <c r="T83" s="74">
        <f>S83*K83</f>
        <v>246134.85255450002</v>
      </c>
      <c r="U83" s="75">
        <f>T83/M83</f>
        <v>0.99963373888677454</v>
      </c>
      <c r="V83" s="76">
        <f>I83-S83</f>
        <v>6.74514999999883</v>
      </c>
      <c r="W83" s="77">
        <f>V83*K83</f>
        <v>90.182655499984349</v>
      </c>
      <c r="X83" s="78">
        <f>V83/I83</f>
        <v>3.6626111322542615E-4</v>
      </c>
    </row>
    <row r="84" spans="2:26" s="23" customFormat="1" ht="23" customHeight="1" x14ac:dyDescent="0.25">
      <c r="B84" s="22"/>
      <c r="D84" s="24"/>
      <c r="E84" s="36" t="s">
        <v>1079</v>
      </c>
      <c r="F84" s="36" t="s">
        <v>1080</v>
      </c>
      <c r="K84" s="26"/>
      <c r="L84" s="37">
        <f>SUM(L85:L86)</f>
        <v>0</v>
      </c>
      <c r="M84" s="37">
        <f>SUM(M85:M86)</f>
        <v>741974.36100000003</v>
      </c>
      <c r="N84" s="37">
        <f>SUM(N85:N86)</f>
        <v>762385.55160000001</v>
      </c>
      <c r="P84" s="37">
        <f>SUM(P85:P86)</f>
        <v>741974.36100000003</v>
      </c>
      <c r="R84" s="37">
        <f>SUM(R85:R86)</f>
        <v>0</v>
      </c>
      <c r="T84" s="37">
        <f>SUM(T85:T86)</f>
        <v>741974.36100000003</v>
      </c>
      <c r="W84" s="37">
        <f>SUM(W85:W86)</f>
        <v>0</v>
      </c>
      <c r="Z84" s="135">
        <f>M84-T84-W84</f>
        <v>0</v>
      </c>
    </row>
    <row r="85" spans="2:26" s="5" customFormat="1" ht="24.15" customHeight="1" x14ac:dyDescent="0.35">
      <c r="B85" s="4"/>
      <c r="C85" s="28" t="s">
        <v>163</v>
      </c>
      <c r="D85" s="28" t="s">
        <v>32</v>
      </c>
      <c r="E85" s="29" t="s">
        <v>1081</v>
      </c>
      <c r="F85" s="30" t="s">
        <v>1082</v>
      </c>
      <c r="G85" s="31" t="s">
        <v>207</v>
      </c>
      <c r="H85" s="32"/>
      <c r="I85" s="32">
        <v>807</v>
      </c>
      <c r="J85" s="159">
        <f>816.2+13</f>
        <v>829.2</v>
      </c>
      <c r="K85" s="33">
        <v>301</v>
      </c>
      <c r="L85" s="34">
        <f>ROUND(K85*H85,2)</f>
        <v>0</v>
      </c>
      <c r="M85" s="90">
        <f>I85*K85</f>
        <v>242907</v>
      </c>
      <c r="N85" s="90">
        <f t="shared" si="3"/>
        <v>249589.2</v>
      </c>
      <c r="O85" s="70">
        <v>807</v>
      </c>
      <c r="P85" s="71">
        <f>O85*K85</f>
        <v>242907</v>
      </c>
      <c r="Q85" s="72"/>
      <c r="R85" s="73">
        <f>Q85*K85</f>
        <v>0</v>
      </c>
      <c r="S85" s="70">
        <f>Q85+O85</f>
        <v>807</v>
      </c>
      <c r="T85" s="74">
        <f>S85*K85</f>
        <v>242907</v>
      </c>
      <c r="U85" s="75">
        <f>T85/M85</f>
        <v>1</v>
      </c>
      <c r="V85" s="76">
        <f>I85-S85</f>
        <v>0</v>
      </c>
      <c r="W85" s="77">
        <f>V85*K85</f>
        <v>0</v>
      </c>
      <c r="X85" s="78">
        <f>V85/I85</f>
        <v>0</v>
      </c>
    </row>
    <row r="86" spans="2:26" s="5" customFormat="1" ht="24.15" customHeight="1" x14ac:dyDescent="0.35">
      <c r="B86" s="4"/>
      <c r="C86" s="92" t="s">
        <v>166</v>
      </c>
      <c r="D86" s="92" t="s">
        <v>193</v>
      </c>
      <c r="E86" s="93" t="s">
        <v>1083</v>
      </c>
      <c r="F86" s="94" t="s">
        <v>1084</v>
      </c>
      <c r="G86" s="95" t="s">
        <v>207</v>
      </c>
      <c r="H86" s="96"/>
      <c r="I86" s="96">
        <v>815.07</v>
      </c>
      <c r="J86" s="96">
        <f>J85*1.01</f>
        <v>837.49200000000008</v>
      </c>
      <c r="K86" s="97">
        <v>612.29999999999995</v>
      </c>
      <c r="L86" s="90">
        <f>ROUND(K86*H86,2)</f>
        <v>0</v>
      </c>
      <c r="M86" s="90">
        <f>I86*K86</f>
        <v>499067.36099999998</v>
      </c>
      <c r="N86" s="90">
        <f>J86*K86</f>
        <v>512796.35159999999</v>
      </c>
      <c r="O86" s="70">
        <v>815.07</v>
      </c>
      <c r="P86" s="71">
        <f>O86*K86</f>
        <v>499067.36099999998</v>
      </c>
      <c r="Q86" s="72"/>
      <c r="R86" s="73">
        <f>Q86*K86</f>
        <v>0</v>
      </c>
      <c r="S86" s="70">
        <f>Q86+O86</f>
        <v>815.07</v>
      </c>
      <c r="T86" s="74">
        <f>S86*K86</f>
        <v>499067.36099999998</v>
      </c>
      <c r="U86" s="75">
        <f>T86/M86</f>
        <v>1</v>
      </c>
      <c r="V86" s="76">
        <f>I86-S86</f>
        <v>0</v>
      </c>
      <c r="W86" s="77">
        <f>V86*K86</f>
        <v>0</v>
      </c>
      <c r="X86" s="78">
        <f>V86/I86</f>
        <v>0</v>
      </c>
    </row>
    <row r="87" spans="2:26" s="5" customFormat="1" ht="21.5" customHeight="1" x14ac:dyDescent="0.25">
      <c r="B87" s="11"/>
      <c r="C87" s="12"/>
      <c r="D87" s="12"/>
      <c r="E87" s="12"/>
      <c r="F87" s="12"/>
      <c r="G87" s="12"/>
      <c r="H87" s="12"/>
      <c r="I87" s="12">
        <f>I86/I85</f>
        <v>1.01</v>
      </c>
      <c r="J87" s="12"/>
      <c r="K87" s="12"/>
      <c r="L87" s="12"/>
      <c r="M87" s="12"/>
      <c r="N87" s="37">
        <f>SUM(N88:N91)</f>
        <v>59042.960550000003</v>
      </c>
    </row>
    <row r="88" spans="2:26" ht="23" x14ac:dyDescent="0.35">
      <c r="E88" s="29" t="s">
        <v>212</v>
      </c>
      <c r="F88" s="30" t="s">
        <v>213</v>
      </c>
      <c r="G88" s="31" t="s">
        <v>214</v>
      </c>
      <c r="J88" s="32">
        <v>164.745</v>
      </c>
      <c r="K88" s="33">
        <v>113.65</v>
      </c>
      <c r="L88" s="34">
        <f t="shared" ref="L88:L97" si="27">ROUND(K88*H88,2)</f>
        <v>0</v>
      </c>
      <c r="M88" s="90">
        <f t="shared" ref="M88:M97" si="28">I88*K88</f>
        <v>0</v>
      </c>
      <c r="N88" s="90">
        <f t="shared" ref="N88:N97" si="29">J88*K88</f>
        <v>18723.269250000001</v>
      </c>
    </row>
    <row r="89" spans="2:26" ht="34.5" x14ac:dyDescent="0.35">
      <c r="E89" s="29" t="s">
        <v>215</v>
      </c>
      <c r="F89" s="30" t="s">
        <v>216</v>
      </c>
      <c r="G89" s="31" t="s">
        <v>214</v>
      </c>
      <c r="J89" s="32">
        <v>164.745</v>
      </c>
      <c r="K89" s="33">
        <v>100.28</v>
      </c>
      <c r="L89" s="34">
        <f t="shared" si="27"/>
        <v>0</v>
      </c>
      <c r="M89" s="90">
        <f t="shared" si="28"/>
        <v>0</v>
      </c>
      <c r="N89" s="90">
        <f t="shared" si="29"/>
        <v>16520.6286</v>
      </c>
    </row>
    <row r="90" spans="2:26" ht="34.5" x14ac:dyDescent="0.35">
      <c r="E90" s="29" t="s">
        <v>219</v>
      </c>
      <c r="F90" s="30" t="s">
        <v>220</v>
      </c>
      <c r="G90" s="31" t="s">
        <v>214</v>
      </c>
      <c r="J90" s="32">
        <f>164.745*18</f>
        <v>2965.41</v>
      </c>
      <c r="K90" s="33">
        <v>1.34</v>
      </c>
      <c r="L90" s="34">
        <f t="shared" si="27"/>
        <v>0</v>
      </c>
      <c r="M90" s="90">
        <f t="shared" si="28"/>
        <v>0</v>
      </c>
      <c r="N90" s="90">
        <f t="shared" si="29"/>
        <v>3973.6494000000002</v>
      </c>
    </row>
    <row r="91" spans="2:26" ht="23" x14ac:dyDescent="0.35">
      <c r="E91" s="29" t="s">
        <v>226</v>
      </c>
      <c r="F91" s="30" t="s">
        <v>227</v>
      </c>
      <c r="G91" s="31" t="s">
        <v>214</v>
      </c>
      <c r="J91" s="32">
        <v>164.745</v>
      </c>
      <c r="K91" s="33">
        <v>120.34</v>
      </c>
      <c r="L91" s="34">
        <f t="shared" si="27"/>
        <v>0</v>
      </c>
      <c r="M91" s="90">
        <f t="shared" si="28"/>
        <v>0</v>
      </c>
      <c r="N91" s="90">
        <f t="shared" si="29"/>
        <v>19825.4133</v>
      </c>
    </row>
    <row r="92" spans="2:26" s="23" customFormat="1" ht="23" customHeight="1" x14ac:dyDescent="0.25">
      <c r="B92" s="22"/>
      <c r="D92" s="24"/>
      <c r="E92" s="36"/>
      <c r="F92" s="36" t="s">
        <v>907</v>
      </c>
      <c r="K92" s="26"/>
      <c r="L92" s="37"/>
      <c r="M92" s="37"/>
      <c r="N92" s="37">
        <f>SUM(N93:N94)</f>
        <v>26221.562580000002</v>
      </c>
      <c r="P92" s="37"/>
      <c r="R92" s="37"/>
      <c r="T92" s="37"/>
      <c r="W92" s="37"/>
      <c r="Z92" s="135"/>
    </row>
    <row r="93" spans="2:26" x14ac:dyDescent="0.35">
      <c r="E93" s="29" t="s">
        <v>1141</v>
      </c>
      <c r="F93" s="30" t="s">
        <v>1142</v>
      </c>
      <c r="G93" s="31" t="s">
        <v>207</v>
      </c>
      <c r="J93" s="32">
        <f>J94</f>
        <v>702.42600000000004</v>
      </c>
      <c r="K93" s="33">
        <v>18.100000000000001</v>
      </c>
      <c r="L93" s="34">
        <f t="shared" si="27"/>
        <v>0</v>
      </c>
      <c r="M93" s="90">
        <f t="shared" si="28"/>
        <v>0</v>
      </c>
      <c r="N93" s="90">
        <f t="shared" si="29"/>
        <v>12713.910600000001</v>
      </c>
    </row>
    <row r="94" spans="2:26" ht="23" x14ac:dyDescent="0.35">
      <c r="E94" s="29" t="s">
        <v>912</v>
      </c>
      <c r="F94" s="30" t="s">
        <v>913</v>
      </c>
      <c r="G94" s="31" t="s">
        <v>207</v>
      </c>
      <c r="J94" s="32">
        <f>555.426+147</f>
        <v>702.42600000000004</v>
      </c>
      <c r="K94" s="33">
        <v>19.23</v>
      </c>
      <c r="L94" s="34">
        <f t="shared" si="27"/>
        <v>0</v>
      </c>
      <c r="M94" s="90">
        <f t="shared" si="28"/>
        <v>0</v>
      </c>
      <c r="N94" s="90">
        <f t="shared" si="29"/>
        <v>13507.651980000001</v>
      </c>
    </row>
    <row r="95" spans="2:26" s="23" customFormat="1" ht="23" customHeight="1" x14ac:dyDescent="0.25">
      <c r="B95" s="22"/>
      <c r="D95" s="24"/>
      <c r="E95" s="36" t="s">
        <v>30</v>
      </c>
      <c r="F95" s="36" t="s">
        <v>233</v>
      </c>
      <c r="K95" s="26"/>
      <c r="L95" s="37"/>
      <c r="M95" s="37"/>
      <c r="N95" s="37">
        <f>SUM(N96:N97)</f>
        <v>135278.47478000057</v>
      </c>
      <c r="P95" s="37"/>
      <c r="R95" s="37"/>
      <c r="T95" s="37"/>
      <c r="W95" s="37"/>
      <c r="Z95" s="135"/>
    </row>
    <row r="96" spans="2:26" x14ac:dyDescent="0.35">
      <c r="E96" s="29">
        <v>564911511</v>
      </c>
      <c r="F96" s="30" t="s">
        <v>1143</v>
      </c>
      <c r="G96" s="31" t="s">
        <v>207</v>
      </c>
      <c r="J96" s="32">
        <v>470.7</v>
      </c>
      <c r="K96" s="33">
        <v>50</v>
      </c>
      <c r="L96" s="34">
        <f t="shared" si="27"/>
        <v>0</v>
      </c>
      <c r="M96" s="90">
        <f t="shared" si="28"/>
        <v>0</v>
      </c>
      <c r="N96" s="90">
        <f t="shared" si="29"/>
        <v>23535</v>
      </c>
    </row>
    <row r="97" spans="2:26" x14ac:dyDescent="0.35">
      <c r="E97" s="29">
        <v>564931512</v>
      </c>
      <c r="F97" s="30" t="s">
        <v>1144</v>
      </c>
      <c r="G97" s="31" t="s">
        <v>207</v>
      </c>
      <c r="J97" s="32">
        <f>J96*3-Q97</f>
        <v>1291.8320783815097</v>
      </c>
      <c r="K97" s="33">
        <v>86.5</v>
      </c>
      <c r="L97" s="34">
        <f t="shared" si="27"/>
        <v>0</v>
      </c>
      <c r="M97" s="90">
        <f t="shared" si="28"/>
        <v>0</v>
      </c>
      <c r="N97" s="90">
        <f t="shared" si="29"/>
        <v>111743.47478000059</v>
      </c>
      <c r="P97" s="156">
        <v>10403.175219999393</v>
      </c>
      <c r="Q97" s="136">
        <f>P97/K97</f>
        <v>120.26792161849009</v>
      </c>
    </row>
    <row r="98" spans="2:26" s="23" customFormat="1" ht="23" customHeight="1" x14ac:dyDescent="0.25">
      <c r="B98" s="22"/>
      <c r="D98" s="24"/>
      <c r="E98" s="36"/>
      <c r="F98" s="36" t="s">
        <v>1161</v>
      </c>
      <c r="K98" s="26"/>
      <c r="L98" s="37"/>
      <c r="M98" s="37"/>
      <c r="N98" s="37"/>
      <c r="P98" s="37"/>
      <c r="R98" s="37"/>
      <c r="T98" s="37"/>
      <c r="W98" s="37"/>
      <c r="Z98" s="135"/>
    </row>
    <row r="99" spans="2:26" x14ac:dyDescent="0.35">
      <c r="E99" s="29"/>
      <c r="F99" s="30" t="s">
        <v>1158</v>
      </c>
      <c r="G99" s="31" t="s">
        <v>323</v>
      </c>
      <c r="J99" s="32">
        <v>215.6</v>
      </c>
      <c r="K99" s="33">
        <v>52.6</v>
      </c>
      <c r="L99" s="34">
        <f>ROUND(K99*H99,2)</f>
        <v>0</v>
      </c>
      <c r="M99" s="90">
        <f>I99*K99</f>
        <v>0</v>
      </c>
      <c r="N99" s="90">
        <f>J99*K99</f>
        <v>11340.56</v>
      </c>
    </row>
    <row r="100" spans="2:26" x14ac:dyDescent="0.35">
      <c r="E100" s="29"/>
      <c r="F100" s="30" t="s">
        <v>1159</v>
      </c>
      <c r="G100" s="31" t="s">
        <v>323</v>
      </c>
      <c r="J100" s="32">
        <v>215.6</v>
      </c>
      <c r="K100" s="33">
        <v>99.6</v>
      </c>
      <c r="L100" s="34">
        <f>ROUND(K100*H100,2)</f>
        <v>0</v>
      </c>
      <c r="M100" s="90">
        <f>I100*K100</f>
        <v>0</v>
      </c>
      <c r="N100" s="90">
        <f>J100*K100</f>
        <v>21473.759999999998</v>
      </c>
    </row>
    <row r="101" spans="2:26" x14ac:dyDescent="0.35">
      <c r="E101" s="29"/>
      <c r="F101" s="30" t="s">
        <v>1160</v>
      </c>
      <c r="G101" s="31" t="s">
        <v>323</v>
      </c>
      <c r="J101" s="32">
        <v>215.6</v>
      </c>
      <c r="K101" s="33">
        <v>55.6</v>
      </c>
      <c r="L101" s="34">
        <f>ROUND(K101*H101,2)</f>
        <v>0</v>
      </c>
      <c r="M101" s="90">
        <f>I101*K101</f>
        <v>0</v>
      </c>
      <c r="N101" s="90">
        <f>J101*K101</f>
        <v>11987.36</v>
      </c>
    </row>
    <row r="102" spans="2:26" x14ac:dyDescent="0.35">
      <c r="F102" s="94" t="s">
        <v>1162</v>
      </c>
      <c r="G102" s="95" t="s">
        <v>35</v>
      </c>
      <c r="J102" s="96">
        <v>1</v>
      </c>
      <c r="K102" s="97">
        <v>8560</v>
      </c>
      <c r="L102" s="90">
        <f>ROUND(K102*H102,2)</f>
        <v>0</v>
      </c>
      <c r="M102" s="90">
        <f>I102*K102</f>
        <v>0</v>
      </c>
      <c r="N102" s="90">
        <f>J102*K102</f>
        <v>8560</v>
      </c>
    </row>
    <row r="103" spans="2:26" x14ac:dyDescent="0.35">
      <c r="E103" t="s">
        <v>1147</v>
      </c>
      <c r="F103" t="s">
        <v>1150</v>
      </c>
    </row>
    <row r="104" spans="2:26" x14ac:dyDescent="0.35">
      <c r="F104" t="s">
        <v>1151</v>
      </c>
    </row>
  </sheetData>
  <autoFilter ref="L1:L196" xr:uid="{D9905CD8-1072-4282-8F8B-03EA000A62F7}"/>
  <mergeCells count="7">
    <mergeCell ref="V16:X16"/>
    <mergeCell ref="E10:H10"/>
    <mergeCell ref="E6:H6"/>
    <mergeCell ref="E8:H8"/>
    <mergeCell ref="O16:P16"/>
    <mergeCell ref="Q16:R16"/>
    <mergeCell ref="S16:U16"/>
  </mergeCells>
  <phoneticPr fontId="36" type="noConversion"/>
  <pageMargins left="0.70866141732283472" right="0.70866141732283472" top="0.78740157480314965" bottom="0.78740157480314965" header="0.31496062992125984" footer="0.31496062992125984"/>
  <pageSetup paperSize="9" scale="66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6F1D-45D2-4CE7-94EB-55B7D5AE6CED}">
  <dimension ref="B2:V36"/>
  <sheetViews>
    <sheetView view="pageBreakPreview" topLeftCell="A19" zoomScale="70" zoomScaleNormal="100" zoomScaleSheetLayoutView="70" workbookViewId="0">
      <selection activeCell="L21" sqref="L21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" customWidth="1"/>
    <col min="16" max="16" width="12.26953125" customWidth="1"/>
    <col min="18" max="18" width="11" customWidth="1"/>
    <col min="21" max="21" width="10.9062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263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897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 t="s">
        <v>1035</v>
      </c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 t="s">
        <v>8</v>
      </c>
      <c r="L15" s="8"/>
    </row>
    <row r="16" spans="2:22" s="5" customFormat="1" ht="23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2.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1122</v>
      </c>
      <c r="I17" s="17" t="s">
        <v>1121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K19</f>
        <v>329929.15000000002</v>
      </c>
      <c r="L18" s="21">
        <f>L19</f>
        <v>329929.14757000003</v>
      </c>
      <c r="M18" s="4"/>
      <c r="N18" s="62">
        <f>N19</f>
        <v>329929.13357000001</v>
      </c>
      <c r="O18" s="63"/>
      <c r="P18" s="62">
        <f>P19</f>
        <v>0</v>
      </c>
      <c r="Q18" s="64"/>
      <c r="R18" s="62">
        <f>R19</f>
        <v>329929.13357000001</v>
      </c>
      <c r="S18" s="64"/>
      <c r="T18" s="63"/>
      <c r="U18" s="62">
        <f>U19</f>
        <v>0</v>
      </c>
    </row>
    <row r="19" spans="2:22" s="23" customFormat="1" ht="26" customHeight="1" x14ac:dyDescent="0.35">
      <c r="B19" s="22"/>
      <c r="D19" s="24" t="s">
        <v>27</v>
      </c>
      <c r="E19" s="25" t="s">
        <v>202</v>
      </c>
      <c r="F19" s="25" t="s">
        <v>203</v>
      </c>
      <c r="J19" s="26"/>
      <c r="K19" s="27">
        <f>SUM(K20,K30,K34)</f>
        <v>329929.15000000002</v>
      </c>
      <c r="L19" s="27">
        <f>SUM(L20,L30,L34)</f>
        <v>329929.14757000003</v>
      </c>
      <c r="M19" s="65"/>
      <c r="N19" s="66">
        <f>SUM(N20,N30,N34)</f>
        <v>329929.13357000001</v>
      </c>
      <c r="O19" s="67"/>
      <c r="P19" s="66">
        <f>SUM(P20,P30,P34)</f>
        <v>0</v>
      </c>
      <c r="Q19" s="68"/>
      <c r="R19" s="66">
        <f>SUM(R20,R30,R34)</f>
        <v>329929.13357000001</v>
      </c>
      <c r="S19" s="68"/>
      <c r="T19" s="67"/>
      <c r="U19" s="66">
        <f>SUM(U20,U30,U34)</f>
        <v>0</v>
      </c>
      <c r="V19" s="69"/>
    </row>
    <row r="20" spans="2:22" s="23" customFormat="1" ht="23" customHeight="1" x14ac:dyDescent="0.25">
      <c r="B20" s="22"/>
      <c r="D20" s="24" t="s">
        <v>27</v>
      </c>
      <c r="E20" s="36" t="s">
        <v>31</v>
      </c>
      <c r="F20" s="36" t="s">
        <v>204</v>
      </c>
      <c r="J20" s="26"/>
      <c r="K20" s="37">
        <f>SUM(K21:K29)</f>
        <v>162616.64000000001</v>
      </c>
      <c r="L20" s="37">
        <f>SUM(L21:L29)+0.014</f>
        <v>162616.64000000001</v>
      </c>
      <c r="M20" s="65"/>
      <c r="N20" s="37">
        <f>SUM(N21:N29)</f>
        <v>162616.62600000002</v>
      </c>
      <c r="O20" s="67"/>
      <c r="P20" s="37">
        <f>SUM(P21:P29)</f>
        <v>0</v>
      </c>
      <c r="Q20" s="68"/>
      <c r="R20" s="37">
        <f>SUM(R21:R29)</f>
        <v>162616.62600000002</v>
      </c>
      <c r="S20" s="68"/>
      <c r="T20" s="67"/>
      <c r="U20" s="37">
        <f>SUM(U21:U29)</f>
        <v>0</v>
      </c>
      <c r="V20" s="69"/>
    </row>
    <row r="21" spans="2:22" s="5" customFormat="1" ht="24.15" customHeight="1" x14ac:dyDescent="0.35">
      <c r="B21" s="4"/>
      <c r="C21" s="28" t="s">
        <v>31</v>
      </c>
      <c r="D21" s="28" t="s">
        <v>32</v>
      </c>
      <c r="E21" s="29" t="s">
        <v>898</v>
      </c>
      <c r="F21" s="30" t="s">
        <v>899</v>
      </c>
      <c r="G21" s="31" t="s">
        <v>214</v>
      </c>
      <c r="H21" s="32">
        <v>14.4</v>
      </c>
      <c r="I21" s="32">
        <v>14.4</v>
      </c>
      <c r="J21" s="33">
        <v>1270.18</v>
      </c>
      <c r="K21" s="34">
        <f t="shared" ref="K21:K29" si="0">ROUND(J21*H21,2)</f>
        <v>18290.59</v>
      </c>
      <c r="L21" s="90">
        <f>I21*J21</f>
        <v>18290.592000000001</v>
      </c>
      <c r="M21" s="70">
        <v>14.4</v>
      </c>
      <c r="N21" s="71">
        <f>M21*J21</f>
        <v>18290.592000000001</v>
      </c>
      <c r="O21" s="72"/>
      <c r="P21" s="73">
        <f>O21*J21</f>
        <v>0</v>
      </c>
      <c r="Q21" s="70">
        <f t="shared" ref="Q21:Q29" si="1">O21+M21</f>
        <v>14.4</v>
      </c>
      <c r="R21" s="74">
        <f t="shared" ref="R21:R29" si="2">Q21*J21</f>
        <v>18290.592000000001</v>
      </c>
      <c r="S21" s="75">
        <f t="shared" ref="S21:S29" si="3">R21/K21</f>
        <v>1.0000001093458439</v>
      </c>
      <c r="T21" s="76">
        <f t="shared" ref="T21:T29" si="4">H21-Q21</f>
        <v>0</v>
      </c>
      <c r="U21" s="77">
        <f t="shared" ref="U21:U29" si="5">T21*J21</f>
        <v>0</v>
      </c>
      <c r="V21" s="78">
        <f t="shared" ref="V21:V29" si="6">T21/H21</f>
        <v>0</v>
      </c>
    </row>
    <row r="22" spans="2:22" s="5" customFormat="1" ht="24.15" customHeight="1" x14ac:dyDescent="0.35">
      <c r="B22" s="4"/>
      <c r="C22" s="28" t="s">
        <v>0</v>
      </c>
      <c r="D22" s="28" t="s">
        <v>32</v>
      </c>
      <c r="E22" s="29" t="s">
        <v>717</v>
      </c>
      <c r="F22" s="30" t="s">
        <v>718</v>
      </c>
      <c r="G22" s="31" t="s">
        <v>214</v>
      </c>
      <c r="H22" s="32">
        <v>15.4</v>
      </c>
      <c r="I22" s="32">
        <v>15.4</v>
      </c>
      <c r="J22" s="33">
        <v>187.19</v>
      </c>
      <c r="K22" s="34">
        <f t="shared" si="0"/>
        <v>2882.73</v>
      </c>
      <c r="L22" s="90">
        <f t="shared" ref="L22:L35" si="7">I22*J22</f>
        <v>2882.7260000000001</v>
      </c>
      <c r="M22" s="70">
        <v>15.4</v>
      </c>
      <c r="N22" s="71">
        <f t="shared" ref="N22:N35" si="8">M22*J22</f>
        <v>2882.7260000000001</v>
      </c>
      <c r="O22" s="72"/>
      <c r="P22" s="73">
        <f t="shared" ref="P22:P35" si="9">O22*J22</f>
        <v>0</v>
      </c>
      <c r="Q22" s="70">
        <f t="shared" si="1"/>
        <v>15.4</v>
      </c>
      <c r="R22" s="74">
        <f t="shared" si="2"/>
        <v>2882.7260000000001</v>
      </c>
      <c r="S22" s="75">
        <f t="shared" si="3"/>
        <v>0.9999986124264153</v>
      </c>
      <c r="T22" s="76">
        <f t="shared" si="4"/>
        <v>0</v>
      </c>
      <c r="U22" s="77">
        <f t="shared" si="5"/>
        <v>0</v>
      </c>
      <c r="V22" s="78">
        <f t="shared" si="6"/>
        <v>0</v>
      </c>
    </row>
    <row r="23" spans="2:22" s="5" customFormat="1" ht="24.15" customHeight="1" x14ac:dyDescent="0.35">
      <c r="B23" s="4"/>
      <c r="C23" s="28" t="s">
        <v>38</v>
      </c>
      <c r="D23" s="28" t="s">
        <v>32</v>
      </c>
      <c r="E23" s="29" t="s">
        <v>900</v>
      </c>
      <c r="F23" s="30" t="s">
        <v>901</v>
      </c>
      <c r="G23" s="31" t="s">
        <v>214</v>
      </c>
      <c r="H23" s="32">
        <v>18.2</v>
      </c>
      <c r="I23" s="32">
        <v>18.2</v>
      </c>
      <c r="J23" s="33">
        <v>187.19</v>
      </c>
      <c r="K23" s="34">
        <f t="shared" si="0"/>
        <v>3406.86</v>
      </c>
      <c r="L23" s="90">
        <f t="shared" si="7"/>
        <v>3406.8579999999997</v>
      </c>
      <c r="M23" s="70">
        <v>18.2</v>
      </c>
      <c r="N23" s="71">
        <f t="shared" si="8"/>
        <v>3406.8579999999997</v>
      </c>
      <c r="O23" s="72"/>
      <c r="P23" s="73">
        <f t="shared" si="9"/>
        <v>0</v>
      </c>
      <c r="Q23" s="70">
        <f t="shared" si="1"/>
        <v>18.2</v>
      </c>
      <c r="R23" s="74">
        <f t="shared" si="2"/>
        <v>3406.8579999999997</v>
      </c>
      <c r="S23" s="75">
        <f t="shared" si="3"/>
        <v>0.99999941294916717</v>
      </c>
      <c r="T23" s="76">
        <f t="shared" si="4"/>
        <v>0</v>
      </c>
      <c r="U23" s="77">
        <f t="shared" si="5"/>
        <v>0</v>
      </c>
      <c r="V23" s="78">
        <f t="shared" si="6"/>
        <v>0</v>
      </c>
    </row>
    <row r="24" spans="2:22" s="5" customFormat="1" ht="33" customHeight="1" x14ac:dyDescent="0.35">
      <c r="B24" s="4"/>
      <c r="C24" s="28" t="s">
        <v>41</v>
      </c>
      <c r="D24" s="28" t="s">
        <v>32</v>
      </c>
      <c r="E24" s="29" t="s">
        <v>902</v>
      </c>
      <c r="F24" s="30" t="s">
        <v>903</v>
      </c>
      <c r="G24" s="31" t="s">
        <v>214</v>
      </c>
      <c r="H24" s="32">
        <v>33.15</v>
      </c>
      <c r="I24" s="32">
        <v>33.15</v>
      </c>
      <c r="J24" s="33">
        <v>1270.21</v>
      </c>
      <c r="K24" s="34">
        <f t="shared" si="0"/>
        <v>42107.46</v>
      </c>
      <c r="L24" s="90">
        <f t="shared" si="7"/>
        <v>42107.461499999998</v>
      </c>
      <c r="M24" s="70">
        <v>33.15</v>
      </c>
      <c r="N24" s="71">
        <f t="shared" si="8"/>
        <v>42107.461499999998</v>
      </c>
      <c r="O24" s="72"/>
      <c r="P24" s="73">
        <f t="shared" si="9"/>
        <v>0</v>
      </c>
      <c r="Q24" s="70">
        <f t="shared" si="1"/>
        <v>33.15</v>
      </c>
      <c r="R24" s="74">
        <f t="shared" si="2"/>
        <v>42107.461499999998</v>
      </c>
      <c r="S24" s="75">
        <f t="shared" si="3"/>
        <v>1.0000000356231413</v>
      </c>
      <c r="T24" s="76">
        <f t="shared" si="4"/>
        <v>0</v>
      </c>
      <c r="U24" s="77">
        <f t="shared" si="5"/>
        <v>0</v>
      </c>
      <c r="V24" s="78">
        <f t="shared" si="6"/>
        <v>0</v>
      </c>
    </row>
    <row r="25" spans="2:22" s="5" customFormat="1" ht="33" customHeight="1" x14ac:dyDescent="0.35">
      <c r="B25" s="4"/>
      <c r="C25" s="28" t="s">
        <v>30</v>
      </c>
      <c r="D25" s="28" t="s">
        <v>32</v>
      </c>
      <c r="E25" s="29" t="s">
        <v>866</v>
      </c>
      <c r="F25" s="30" t="s">
        <v>867</v>
      </c>
      <c r="G25" s="31" t="s">
        <v>214</v>
      </c>
      <c r="H25" s="32">
        <v>77.349999999999994</v>
      </c>
      <c r="I25" s="32">
        <v>77.349999999999994</v>
      </c>
      <c r="J25" s="33">
        <v>113.65</v>
      </c>
      <c r="K25" s="34">
        <f t="shared" si="0"/>
        <v>8790.83</v>
      </c>
      <c r="L25" s="90">
        <f t="shared" si="7"/>
        <v>8790.8274999999994</v>
      </c>
      <c r="M25" s="70">
        <v>77.349999999999994</v>
      </c>
      <c r="N25" s="71">
        <f t="shared" si="8"/>
        <v>8790.8274999999994</v>
      </c>
      <c r="O25" s="72"/>
      <c r="P25" s="73">
        <f t="shared" si="9"/>
        <v>0</v>
      </c>
      <c r="Q25" s="70">
        <f t="shared" si="1"/>
        <v>77.349999999999994</v>
      </c>
      <c r="R25" s="74">
        <f t="shared" si="2"/>
        <v>8790.8274999999994</v>
      </c>
      <c r="S25" s="75">
        <f t="shared" si="3"/>
        <v>0.99999971561274636</v>
      </c>
      <c r="T25" s="76">
        <f t="shared" si="4"/>
        <v>0</v>
      </c>
      <c r="U25" s="77">
        <f t="shared" si="5"/>
        <v>0</v>
      </c>
      <c r="V25" s="78">
        <f t="shared" si="6"/>
        <v>0</v>
      </c>
    </row>
    <row r="26" spans="2:22" s="5" customFormat="1" ht="38" customHeight="1" x14ac:dyDescent="0.35">
      <c r="B26" s="4"/>
      <c r="C26" s="28" t="s">
        <v>46</v>
      </c>
      <c r="D26" s="28" t="s">
        <v>32</v>
      </c>
      <c r="E26" s="29" t="s">
        <v>217</v>
      </c>
      <c r="F26" s="30" t="s">
        <v>218</v>
      </c>
      <c r="G26" s="31" t="s">
        <v>214</v>
      </c>
      <c r="H26" s="32">
        <v>158.5</v>
      </c>
      <c r="I26" s="32">
        <v>158.5</v>
      </c>
      <c r="J26" s="33">
        <v>86.91</v>
      </c>
      <c r="K26" s="34">
        <f t="shared" si="0"/>
        <v>13775.24</v>
      </c>
      <c r="L26" s="90">
        <f t="shared" si="7"/>
        <v>13775.234999999999</v>
      </c>
      <c r="M26" s="70">
        <v>158.5</v>
      </c>
      <c r="N26" s="71">
        <f t="shared" si="8"/>
        <v>13775.234999999999</v>
      </c>
      <c r="O26" s="72"/>
      <c r="P26" s="73">
        <f t="shared" si="9"/>
        <v>0</v>
      </c>
      <c r="Q26" s="70">
        <f t="shared" si="1"/>
        <v>158.5</v>
      </c>
      <c r="R26" s="74">
        <f t="shared" si="2"/>
        <v>13775.234999999999</v>
      </c>
      <c r="S26" s="75">
        <f t="shared" si="3"/>
        <v>0.99999963702991734</v>
      </c>
      <c r="T26" s="76">
        <f t="shared" si="4"/>
        <v>0</v>
      </c>
      <c r="U26" s="77">
        <f t="shared" si="5"/>
        <v>0</v>
      </c>
      <c r="V26" s="78">
        <f t="shared" si="6"/>
        <v>0</v>
      </c>
    </row>
    <row r="27" spans="2:22" s="5" customFormat="1" ht="38" customHeight="1" x14ac:dyDescent="0.35">
      <c r="B27" s="4"/>
      <c r="C27" s="28" t="s">
        <v>49</v>
      </c>
      <c r="D27" s="28" t="s">
        <v>32</v>
      </c>
      <c r="E27" s="29" t="s">
        <v>759</v>
      </c>
      <c r="F27" s="30" t="s">
        <v>760</v>
      </c>
      <c r="G27" s="31" t="s">
        <v>214</v>
      </c>
      <c r="H27" s="32">
        <v>1585</v>
      </c>
      <c r="I27" s="32">
        <v>1585</v>
      </c>
      <c r="J27" s="33">
        <v>1.34</v>
      </c>
      <c r="K27" s="34">
        <f t="shared" si="0"/>
        <v>2123.9</v>
      </c>
      <c r="L27" s="90">
        <f t="shared" si="7"/>
        <v>2123.9</v>
      </c>
      <c r="M27" s="70">
        <v>1585</v>
      </c>
      <c r="N27" s="71">
        <f t="shared" si="8"/>
        <v>2123.9</v>
      </c>
      <c r="O27" s="72"/>
      <c r="P27" s="73">
        <f t="shared" si="9"/>
        <v>0</v>
      </c>
      <c r="Q27" s="70">
        <f t="shared" si="1"/>
        <v>1585</v>
      </c>
      <c r="R27" s="74">
        <f t="shared" si="2"/>
        <v>2123.9</v>
      </c>
      <c r="S27" s="75">
        <f t="shared" si="3"/>
        <v>1</v>
      </c>
      <c r="T27" s="76">
        <f t="shared" si="4"/>
        <v>0</v>
      </c>
      <c r="U27" s="77">
        <f t="shared" si="5"/>
        <v>0</v>
      </c>
      <c r="V27" s="78">
        <f t="shared" si="6"/>
        <v>0</v>
      </c>
    </row>
    <row r="28" spans="2:22" s="5" customFormat="1" ht="16.5" customHeight="1" x14ac:dyDescent="0.35">
      <c r="B28" s="4"/>
      <c r="C28" s="28" t="s">
        <v>52</v>
      </c>
      <c r="D28" s="28" t="s">
        <v>32</v>
      </c>
      <c r="E28" s="29" t="s">
        <v>221</v>
      </c>
      <c r="F28" s="30" t="s">
        <v>904</v>
      </c>
      <c r="G28" s="31" t="s">
        <v>223</v>
      </c>
      <c r="H28" s="32">
        <v>317</v>
      </c>
      <c r="I28" s="32">
        <v>317</v>
      </c>
      <c r="J28" s="33">
        <v>212.59</v>
      </c>
      <c r="K28" s="34">
        <f t="shared" si="0"/>
        <v>67391.03</v>
      </c>
      <c r="L28" s="90">
        <f t="shared" si="7"/>
        <v>67391.03</v>
      </c>
      <c r="M28" s="70">
        <v>317</v>
      </c>
      <c r="N28" s="71">
        <f t="shared" si="8"/>
        <v>67391.03</v>
      </c>
      <c r="O28" s="72"/>
      <c r="P28" s="73">
        <f t="shared" si="9"/>
        <v>0</v>
      </c>
      <c r="Q28" s="70">
        <f t="shared" si="1"/>
        <v>317</v>
      </c>
      <c r="R28" s="74">
        <f t="shared" si="2"/>
        <v>67391.03</v>
      </c>
      <c r="S28" s="75">
        <f t="shared" si="3"/>
        <v>1</v>
      </c>
      <c r="T28" s="76">
        <f t="shared" si="4"/>
        <v>0</v>
      </c>
      <c r="U28" s="77">
        <f t="shared" si="5"/>
        <v>0</v>
      </c>
      <c r="V28" s="78">
        <f t="shared" si="6"/>
        <v>0</v>
      </c>
    </row>
    <row r="29" spans="2:22" s="5" customFormat="1" ht="24.15" customHeight="1" x14ac:dyDescent="0.35">
      <c r="B29" s="4"/>
      <c r="C29" s="28" t="s">
        <v>55</v>
      </c>
      <c r="D29" s="28" t="s">
        <v>32</v>
      </c>
      <c r="E29" s="29" t="s">
        <v>905</v>
      </c>
      <c r="F29" s="30" t="s">
        <v>906</v>
      </c>
      <c r="G29" s="31" t="s">
        <v>207</v>
      </c>
      <c r="H29" s="32">
        <v>239.9</v>
      </c>
      <c r="I29" s="32">
        <v>239.9</v>
      </c>
      <c r="J29" s="33">
        <v>16.04</v>
      </c>
      <c r="K29" s="34">
        <f t="shared" si="0"/>
        <v>3848</v>
      </c>
      <c r="L29" s="90">
        <f t="shared" si="7"/>
        <v>3847.9960000000001</v>
      </c>
      <c r="M29" s="70">
        <v>239.9</v>
      </c>
      <c r="N29" s="71">
        <f t="shared" si="8"/>
        <v>3847.9960000000001</v>
      </c>
      <c r="O29" s="72"/>
      <c r="P29" s="73">
        <f t="shared" si="9"/>
        <v>0</v>
      </c>
      <c r="Q29" s="70">
        <f t="shared" si="1"/>
        <v>239.9</v>
      </c>
      <c r="R29" s="74">
        <f t="shared" si="2"/>
        <v>3847.9960000000001</v>
      </c>
      <c r="S29" s="75">
        <f t="shared" si="3"/>
        <v>0.99999896049896053</v>
      </c>
      <c r="T29" s="76">
        <f t="shared" si="4"/>
        <v>0</v>
      </c>
      <c r="U29" s="77">
        <f t="shared" si="5"/>
        <v>0</v>
      </c>
      <c r="V29" s="78">
        <f t="shared" si="6"/>
        <v>0</v>
      </c>
    </row>
    <row r="30" spans="2:22" s="23" customFormat="1" ht="23" customHeight="1" x14ac:dyDescent="0.25">
      <c r="B30" s="22"/>
      <c r="D30" s="24" t="s">
        <v>27</v>
      </c>
      <c r="E30" s="36" t="s">
        <v>0</v>
      </c>
      <c r="F30" s="36" t="s">
        <v>907</v>
      </c>
      <c r="J30" s="26"/>
      <c r="K30" s="37">
        <f>SUM(K31:K33)</f>
        <v>167308.88</v>
      </c>
      <c r="L30" s="37">
        <f>SUM(L31:L33)</f>
        <v>167308.88198999999</v>
      </c>
      <c r="N30" s="37">
        <f>SUM(N31:N33)</f>
        <v>167308.88198999999</v>
      </c>
      <c r="P30" s="37">
        <f>SUM(P31:P33)</f>
        <v>0</v>
      </c>
      <c r="R30" s="37">
        <f>SUM(R31:R33)</f>
        <v>167308.88198999999</v>
      </c>
      <c r="U30" s="37">
        <f>SUM(U31:U33)</f>
        <v>0</v>
      </c>
    </row>
    <row r="31" spans="2:22" s="5" customFormat="1" ht="33" customHeight="1" x14ac:dyDescent="0.35">
      <c r="B31" s="4"/>
      <c r="C31" s="28" t="s">
        <v>58</v>
      </c>
      <c r="D31" s="28" t="s">
        <v>32</v>
      </c>
      <c r="E31" s="29" t="s">
        <v>908</v>
      </c>
      <c r="F31" s="30" t="s">
        <v>909</v>
      </c>
      <c r="G31" s="31" t="s">
        <v>214</v>
      </c>
      <c r="H31" s="32">
        <v>110.5</v>
      </c>
      <c r="I31" s="32">
        <v>110.5</v>
      </c>
      <c r="J31" s="33">
        <v>1390.5</v>
      </c>
      <c r="K31" s="34">
        <f>ROUND(J31*H31,2)</f>
        <v>153650.25</v>
      </c>
      <c r="L31" s="90">
        <f t="shared" si="7"/>
        <v>153650.25</v>
      </c>
      <c r="M31" s="70">
        <v>110.5</v>
      </c>
      <c r="N31" s="71">
        <f t="shared" si="8"/>
        <v>153650.25</v>
      </c>
      <c r="O31" s="72"/>
      <c r="P31" s="73">
        <f t="shared" si="9"/>
        <v>0</v>
      </c>
      <c r="Q31" s="70">
        <f>O31+M31</f>
        <v>110.5</v>
      </c>
      <c r="R31" s="74">
        <f>Q31*J31</f>
        <v>153650.25</v>
      </c>
      <c r="S31" s="75">
        <f>R31/K31</f>
        <v>1</v>
      </c>
      <c r="T31" s="76">
        <f>H31-Q31</f>
        <v>0</v>
      </c>
      <c r="U31" s="77">
        <f>T31*J31</f>
        <v>0</v>
      </c>
      <c r="V31" s="78">
        <f>T31/H31</f>
        <v>0</v>
      </c>
    </row>
    <row r="32" spans="2:22" s="5" customFormat="1" ht="24.15" customHeight="1" x14ac:dyDescent="0.35">
      <c r="B32" s="4"/>
      <c r="C32" s="28" t="s">
        <v>61</v>
      </c>
      <c r="D32" s="28" t="s">
        <v>32</v>
      </c>
      <c r="E32" s="29" t="s">
        <v>910</v>
      </c>
      <c r="F32" s="30" t="s">
        <v>911</v>
      </c>
      <c r="G32" s="31" t="s">
        <v>207</v>
      </c>
      <c r="H32" s="32">
        <v>425</v>
      </c>
      <c r="I32" s="32">
        <v>425</v>
      </c>
      <c r="J32" s="33">
        <v>9.36</v>
      </c>
      <c r="K32" s="34">
        <f>ROUND(J32*H32,2)</f>
        <v>3978</v>
      </c>
      <c r="L32" s="90">
        <f t="shared" si="7"/>
        <v>3977.9999999999995</v>
      </c>
      <c r="M32" s="70">
        <v>425</v>
      </c>
      <c r="N32" s="71">
        <f t="shared" si="8"/>
        <v>3977.9999999999995</v>
      </c>
      <c r="O32" s="72"/>
      <c r="P32" s="73">
        <f t="shared" si="9"/>
        <v>0</v>
      </c>
      <c r="Q32" s="70">
        <f>O32+M32</f>
        <v>425</v>
      </c>
      <c r="R32" s="74">
        <f>Q32*J32</f>
        <v>3977.9999999999995</v>
      </c>
      <c r="S32" s="75">
        <f>R32/K32</f>
        <v>0.99999999999999989</v>
      </c>
      <c r="T32" s="76">
        <f>H32-Q32</f>
        <v>0</v>
      </c>
      <c r="U32" s="77">
        <f>T32*J32</f>
        <v>0</v>
      </c>
      <c r="V32" s="78">
        <f>T32/H32</f>
        <v>0</v>
      </c>
    </row>
    <row r="33" spans="2:22" s="5" customFormat="1" ht="24.15" customHeight="1" x14ac:dyDescent="0.35">
      <c r="B33" s="4"/>
      <c r="C33" s="38" t="s">
        <v>64</v>
      </c>
      <c r="D33" s="38" t="s">
        <v>193</v>
      </c>
      <c r="E33" s="39" t="s">
        <v>912</v>
      </c>
      <c r="F33" s="40" t="s">
        <v>913</v>
      </c>
      <c r="G33" s="41" t="s">
        <v>207</v>
      </c>
      <c r="H33" s="42">
        <v>503.41300000000001</v>
      </c>
      <c r="I33" s="42">
        <v>503.41300000000001</v>
      </c>
      <c r="J33" s="43">
        <v>19.23</v>
      </c>
      <c r="K33" s="44">
        <f>ROUND(J33*H33,2)</f>
        <v>9680.6299999999992</v>
      </c>
      <c r="L33" s="90">
        <f t="shared" si="7"/>
        <v>9680.6319899999999</v>
      </c>
      <c r="M33" s="70">
        <v>503.41300000000001</v>
      </c>
      <c r="N33" s="71">
        <f t="shared" si="8"/>
        <v>9680.6319899999999</v>
      </c>
      <c r="O33" s="72"/>
      <c r="P33" s="73">
        <f t="shared" si="9"/>
        <v>0</v>
      </c>
      <c r="Q33" s="70">
        <f>O33+M33</f>
        <v>503.41300000000001</v>
      </c>
      <c r="R33" s="74">
        <f>Q33*J33</f>
        <v>9680.6319899999999</v>
      </c>
      <c r="S33" s="75">
        <f>R33/K33</f>
        <v>1.0000002055651338</v>
      </c>
      <c r="T33" s="76">
        <f>H33-Q33</f>
        <v>0</v>
      </c>
      <c r="U33" s="77">
        <f>T33*J33</f>
        <v>0</v>
      </c>
      <c r="V33" s="78">
        <f>T33/H33</f>
        <v>0</v>
      </c>
    </row>
    <row r="34" spans="2:22" s="23" customFormat="1" ht="23" customHeight="1" x14ac:dyDescent="0.25">
      <c r="B34" s="22"/>
      <c r="D34" s="24" t="s">
        <v>27</v>
      </c>
      <c r="E34" s="36" t="s">
        <v>259</v>
      </c>
      <c r="F34" s="36" t="s">
        <v>260</v>
      </c>
      <c r="J34" s="26"/>
      <c r="K34" s="37">
        <f>SUM(K35)</f>
        <v>3.63</v>
      </c>
      <c r="L34" s="37">
        <f>SUM(L35)</f>
        <v>3.6255800000000002</v>
      </c>
      <c r="N34" s="37">
        <f>SUM(N35)</f>
        <v>3.6255800000000002</v>
      </c>
      <c r="P34" s="37">
        <f>SUM(P35)</f>
        <v>0</v>
      </c>
      <c r="R34" s="37">
        <f>SUM(R35)</f>
        <v>3.6255800000000002</v>
      </c>
      <c r="U34" s="37">
        <f>SUM(U35)</f>
        <v>0</v>
      </c>
    </row>
    <row r="35" spans="2:22" s="5" customFormat="1" ht="24.15" customHeight="1" x14ac:dyDescent="0.35">
      <c r="B35" s="4"/>
      <c r="C35" s="28" t="s">
        <v>130</v>
      </c>
      <c r="D35" s="28" t="s">
        <v>32</v>
      </c>
      <c r="E35" s="29" t="s">
        <v>261</v>
      </c>
      <c r="F35" s="30" t="s">
        <v>262</v>
      </c>
      <c r="G35" s="31" t="s">
        <v>223</v>
      </c>
      <c r="H35" s="32">
        <v>0.26600000000000001</v>
      </c>
      <c r="I35" s="32">
        <v>0.26600000000000001</v>
      </c>
      <c r="J35" s="33">
        <v>13.63</v>
      </c>
      <c r="K35" s="34">
        <f>ROUND(J35*H35,2)</f>
        <v>3.63</v>
      </c>
      <c r="L35" s="90">
        <f t="shared" si="7"/>
        <v>3.6255800000000002</v>
      </c>
      <c r="M35" s="70">
        <v>0.26600000000000001</v>
      </c>
      <c r="N35" s="71">
        <f t="shared" si="8"/>
        <v>3.6255800000000002</v>
      </c>
      <c r="O35" s="72"/>
      <c r="P35" s="73">
        <f t="shared" si="9"/>
        <v>0</v>
      </c>
      <c r="Q35" s="70">
        <f>O35+M35</f>
        <v>0.26600000000000001</v>
      </c>
      <c r="R35" s="74">
        <f>Q35*J35</f>
        <v>3.6255800000000002</v>
      </c>
      <c r="S35" s="75">
        <f>R35/K35</f>
        <v>0.9987823691460056</v>
      </c>
      <c r="T35" s="76">
        <f>H35-Q35</f>
        <v>0</v>
      </c>
      <c r="U35" s="77">
        <f>T35*J35</f>
        <v>0</v>
      </c>
      <c r="V35" s="78">
        <f>T35/H35</f>
        <v>0</v>
      </c>
    </row>
    <row r="36" spans="2:22" s="5" customFormat="1" ht="6.9" customHeight="1" x14ac:dyDescent="0.35">
      <c r="B36" s="11"/>
      <c r="C36" s="12"/>
      <c r="D36" s="12"/>
      <c r="E36" s="12"/>
      <c r="F36" s="12"/>
      <c r="G36" s="12"/>
      <c r="H36" s="12"/>
      <c r="I36" s="12"/>
      <c r="J36" s="12"/>
      <c r="K36" s="12"/>
    </row>
  </sheetData>
  <autoFilter ref="K1:K142" xr:uid="{65546F1D-45D2-4CE7-94EB-55B7D5AE6CED}"/>
  <mergeCells count="7">
    <mergeCell ref="E6:H6"/>
    <mergeCell ref="M16:N16"/>
    <mergeCell ref="O16:P16"/>
    <mergeCell ref="Q16:S16"/>
    <mergeCell ref="T16:V16"/>
    <mergeCell ref="E8:H8"/>
    <mergeCell ref="E10:H10"/>
  </mergeCells>
  <pageMargins left="0.7" right="0.7" top="0.78740157499999996" bottom="0.78740157499999996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AE409-EEA5-4D34-9A5F-3D9A03E3E598}">
  <sheetPr>
    <pageSetUpPr fitToPage="1"/>
  </sheetPr>
  <dimension ref="B2:W96"/>
  <sheetViews>
    <sheetView tabSelected="1" view="pageBreakPreview" topLeftCell="F1" zoomScaleNormal="100" zoomScaleSheetLayoutView="100" workbookViewId="0">
      <selection activeCell="I20" sqref="I20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3" width="18.26953125" customWidth="1"/>
    <col min="15" max="15" width="13.08984375" customWidth="1"/>
    <col min="17" max="17" width="12.453125" customWidth="1"/>
    <col min="19" max="19" width="13" customWidth="1"/>
    <col min="22" max="22" width="13.08984375" customWidth="1"/>
  </cols>
  <sheetData>
    <row r="2" spans="2:23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3" s="5" customFormat="1" ht="24.9" customHeight="1" x14ac:dyDescent="0.35">
      <c r="B3" s="4"/>
      <c r="C3" s="2" t="s">
        <v>18</v>
      </c>
    </row>
    <row r="4" spans="2:23" s="5" customFormat="1" ht="6.9" customHeight="1" x14ac:dyDescent="0.35">
      <c r="B4" s="4"/>
    </row>
    <row r="5" spans="2:23" s="5" customFormat="1" ht="12" customHeight="1" x14ac:dyDescent="0.35">
      <c r="B5" s="4"/>
      <c r="C5" s="3" t="s">
        <v>1</v>
      </c>
    </row>
    <row r="6" spans="2:23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3" ht="12" customHeight="1" x14ac:dyDescent="0.35">
      <c r="B7" s="1"/>
      <c r="C7" s="3" t="s">
        <v>2</v>
      </c>
    </row>
    <row r="8" spans="2:23" s="5" customFormat="1" ht="16.5" customHeight="1" x14ac:dyDescent="0.35">
      <c r="B8" s="4"/>
      <c r="E8" s="177" t="s">
        <v>263</v>
      </c>
      <c r="F8" s="183"/>
      <c r="G8" s="183"/>
      <c r="H8" s="183"/>
    </row>
    <row r="9" spans="2:23" s="5" customFormat="1" ht="12" customHeight="1" x14ac:dyDescent="0.35">
      <c r="B9" s="4"/>
      <c r="C9" s="3" t="s">
        <v>4</v>
      </c>
    </row>
    <row r="10" spans="2:23" s="5" customFormat="1" ht="16.5" customHeight="1" x14ac:dyDescent="0.35">
      <c r="B10" s="4"/>
      <c r="E10" s="169" t="s">
        <v>861</v>
      </c>
      <c r="F10" s="183"/>
      <c r="G10" s="183"/>
      <c r="H10" s="183"/>
    </row>
    <row r="11" spans="2:23" s="5" customFormat="1" ht="6.9" customHeight="1" x14ac:dyDescent="0.35">
      <c r="B11" s="4"/>
    </row>
    <row r="12" spans="2:23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/>
      <c r="L12" s="7"/>
      <c r="M12" s="7"/>
    </row>
    <row r="13" spans="2:23" s="5" customFormat="1" ht="6.9" customHeight="1" x14ac:dyDescent="0.35">
      <c r="B13" s="4"/>
    </row>
    <row r="14" spans="2:23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  <c r="M14" s="8"/>
    </row>
    <row r="15" spans="2:23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  <c r="M15" s="8"/>
    </row>
    <row r="16" spans="2:23" s="5" customFormat="1" ht="30" customHeight="1" thickBot="1" x14ac:dyDescent="0.4">
      <c r="B16" s="4"/>
      <c r="N16" s="179" t="s">
        <v>1064</v>
      </c>
      <c r="O16" s="180"/>
      <c r="P16" s="179" t="s">
        <v>1068</v>
      </c>
      <c r="Q16" s="180"/>
      <c r="R16" s="179" t="s">
        <v>1066</v>
      </c>
      <c r="S16" s="181"/>
      <c r="T16" s="180"/>
      <c r="U16" s="179" t="s">
        <v>1067</v>
      </c>
      <c r="V16" s="181"/>
      <c r="W16" s="182"/>
    </row>
    <row r="17" spans="2:23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138"/>
      <c r="N17" s="57" t="s">
        <v>1069</v>
      </c>
      <c r="O17" s="58" t="s">
        <v>1070</v>
      </c>
      <c r="P17" s="57" t="s">
        <v>1069</v>
      </c>
      <c r="Q17" s="59" t="s">
        <v>1070</v>
      </c>
      <c r="R17" s="57" t="s">
        <v>1069</v>
      </c>
      <c r="S17" s="58" t="s">
        <v>1070</v>
      </c>
      <c r="T17" s="59" t="s">
        <v>1071</v>
      </c>
      <c r="U17" s="60" t="s">
        <v>1069</v>
      </c>
      <c r="V17" s="58" t="s">
        <v>1070</v>
      </c>
      <c r="W17" s="61" t="s">
        <v>1071</v>
      </c>
    </row>
    <row r="18" spans="2:23" s="5" customFormat="1" ht="23" customHeight="1" x14ac:dyDescent="0.35">
      <c r="B18" s="4"/>
      <c r="C18" s="20" t="s">
        <v>26</v>
      </c>
      <c r="K18" s="21">
        <f>SUM(K19,K43,K46,K48,K57,K88)</f>
        <v>711636.85</v>
      </c>
      <c r="L18" s="21">
        <f>SUM(L19,L43,L46,L48,L57,L88,L91)</f>
        <v>711636.84792999993</v>
      </c>
      <c r="M18" s="21"/>
      <c r="N18" s="4"/>
      <c r="O18" s="62">
        <f>SUM(O19,O43,O46,O48,O57,O88)</f>
        <v>644471.31641000009</v>
      </c>
      <c r="P18" s="63"/>
      <c r="Q18" s="62">
        <f>SUM(Q19,Q43,Q46,Q48,Q57,Q88)</f>
        <v>53656.161950000002</v>
      </c>
      <c r="R18" s="64"/>
      <c r="S18" s="62">
        <f>SUM(S19,S43,S46,S48,S57,S88)</f>
        <v>698127.47835999995</v>
      </c>
      <c r="T18" s="64"/>
      <c r="U18" s="63"/>
      <c r="V18" s="62">
        <f>SUM(V19,V43,V46,V48,V57,V88)</f>
        <v>13509.369570000003</v>
      </c>
    </row>
    <row r="19" spans="2:23" s="23" customFormat="1" ht="26" customHeight="1" x14ac:dyDescent="0.35">
      <c r="B19" s="22"/>
      <c r="D19" s="24" t="s">
        <v>27</v>
      </c>
      <c r="E19" s="25" t="s">
        <v>61</v>
      </c>
      <c r="F19" s="25" t="s">
        <v>736</v>
      </c>
      <c r="J19" s="26"/>
      <c r="K19" s="27">
        <f>SUM(K20:K42)</f>
        <v>335883.52000000002</v>
      </c>
      <c r="L19" s="27">
        <f>SUM(L20:L42)</f>
        <v>335883.50956999994</v>
      </c>
      <c r="M19" s="27"/>
      <c r="N19" s="65"/>
      <c r="O19" s="27">
        <f>SUM(O20:O42)</f>
        <v>329778.32761999994</v>
      </c>
      <c r="P19" s="67"/>
      <c r="Q19" s="27">
        <f>SUM(Q20:Q42)</f>
        <v>6105.1819500000001</v>
      </c>
      <c r="R19" s="68"/>
      <c r="S19" s="27">
        <f>SUM(S20:S42)</f>
        <v>335883.50956999994</v>
      </c>
      <c r="T19" s="68"/>
      <c r="U19" s="67"/>
      <c r="V19" s="27">
        <f>SUM(V20:V42)</f>
        <v>0</v>
      </c>
      <c r="W19" s="69"/>
    </row>
    <row r="20" spans="2:23" s="5" customFormat="1" ht="24.15" customHeight="1" x14ac:dyDescent="0.35">
      <c r="B20" s="4"/>
      <c r="C20" s="28" t="s">
        <v>31</v>
      </c>
      <c r="D20" s="28" t="s">
        <v>32</v>
      </c>
      <c r="E20" s="29" t="s">
        <v>737</v>
      </c>
      <c r="F20" s="30" t="s">
        <v>738</v>
      </c>
      <c r="G20" s="31" t="s">
        <v>207</v>
      </c>
      <c r="H20" s="32">
        <v>13.8</v>
      </c>
      <c r="I20" s="32">
        <v>13.8</v>
      </c>
      <c r="J20" s="33">
        <v>46.8</v>
      </c>
      <c r="K20" s="34">
        <f t="shared" ref="K20:K42" si="0">ROUND(J20*H20,2)</f>
        <v>645.84</v>
      </c>
      <c r="L20" s="90">
        <f>J20*I20</f>
        <v>645.84</v>
      </c>
      <c r="M20" s="90">
        <v>0</v>
      </c>
      <c r="N20" s="70">
        <v>13.8</v>
      </c>
      <c r="O20" s="71">
        <f t="shared" ref="O20:O42" si="1">N20*J20</f>
        <v>645.84</v>
      </c>
      <c r="P20" s="72"/>
      <c r="Q20" s="73">
        <f t="shared" ref="Q20:Q42" si="2">P20*J20</f>
        <v>0</v>
      </c>
      <c r="R20" s="70">
        <f t="shared" ref="R20:R42" si="3">P20+N20</f>
        <v>13.8</v>
      </c>
      <c r="S20" s="74">
        <f t="shared" ref="S20:S42" si="4">R20*J20</f>
        <v>645.84</v>
      </c>
      <c r="T20" s="75">
        <f t="shared" ref="T20:T42" si="5">S20/K20</f>
        <v>1</v>
      </c>
      <c r="U20" s="76">
        <f t="shared" ref="U20:U42" si="6">H20-R20</f>
        <v>0</v>
      </c>
      <c r="V20" s="77">
        <f t="shared" ref="V20:V42" si="7">U20*J20</f>
        <v>0</v>
      </c>
      <c r="W20" s="78">
        <f t="shared" ref="W20:W42" si="8">U20/H20</f>
        <v>0</v>
      </c>
    </row>
    <row r="21" spans="2:23" s="5" customFormat="1" ht="24.15" customHeight="1" x14ac:dyDescent="0.35">
      <c r="B21" s="4"/>
      <c r="C21" s="28" t="s">
        <v>0</v>
      </c>
      <c r="D21" s="28" t="s">
        <v>32</v>
      </c>
      <c r="E21" s="29" t="s">
        <v>741</v>
      </c>
      <c r="F21" s="30" t="s">
        <v>742</v>
      </c>
      <c r="G21" s="31" t="s">
        <v>207</v>
      </c>
      <c r="H21" s="32">
        <v>160.19999999999999</v>
      </c>
      <c r="I21" s="32">
        <v>160.19999999999999</v>
      </c>
      <c r="J21" s="33">
        <v>21.39</v>
      </c>
      <c r="K21" s="34">
        <f t="shared" si="0"/>
        <v>3426.68</v>
      </c>
      <c r="L21" s="90">
        <f t="shared" ref="L21:L84" si="9">J21*I21</f>
        <v>3426.6779999999999</v>
      </c>
      <c r="M21" s="90">
        <v>0</v>
      </c>
      <c r="N21" s="70">
        <v>160.19999999999999</v>
      </c>
      <c r="O21" s="71">
        <f t="shared" si="1"/>
        <v>3426.6779999999999</v>
      </c>
      <c r="P21" s="72"/>
      <c r="Q21" s="73">
        <f t="shared" si="2"/>
        <v>0</v>
      </c>
      <c r="R21" s="70">
        <f t="shared" si="3"/>
        <v>160.19999999999999</v>
      </c>
      <c r="S21" s="74">
        <f t="shared" si="4"/>
        <v>3426.6779999999999</v>
      </c>
      <c r="T21" s="75">
        <f t="shared" si="5"/>
        <v>0.99999941634468348</v>
      </c>
      <c r="U21" s="76">
        <f t="shared" si="6"/>
        <v>0</v>
      </c>
      <c r="V21" s="77">
        <f t="shared" si="7"/>
        <v>0</v>
      </c>
      <c r="W21" s="78">
        <f t="shared" si="8"/>
        <v>0</v>
      </c>
    </row>
    <row r="22" spans="2:23" s="5" customFormat="1" ht="24.15" customHeight="1" x14ac:dyDescent="0.35">
      <c r="B22" s="4"/>
      <c r="C22" s="28" t="s">
        <v>38</v>
      </c>
      <c r="D22" s="28" t="s">
        <v>32</v>
      </c>
      <c r="E22" s="29" t="s">
        <v>862</v>
      </c>
      <c r="F22" s="30" t="s">
        <v>863</v>
      </c>
      <c r="G22" s="31" t="s">
        <v>214</v>
      </c>
      <c r="H22" s="32">
        <v>58.52</v>
      </c>
      <c r="I22" s="32">
        <v>58.52</v>
      </c>
      <c r="J22" s="33">
        <v>113.65</v>
      </c>
      <c r="K22" s="34">
        <f t="shared" si="0"/>
        <v>6650.8</v>
      </c>
      <c r="L22" s="90">
        <f t="shared" si="9"/>
        <v>6650.7980000000007</v>
      </c>
      <c r="M22" s="90">
        <v>26.160000000000004</v>
      </c>
      <c r="N22" s="70">
        <v>58.52</v>
      </c>
      <c r="O22" s="71">
        <f t="shared" si="1"/>
        <v>6650.7980000000007</v>
      </c>
      <c r="P22" s="72"/>
      <c r="Q22" s="73">
        <f t="shared" si="2"/>
        <v>0</v>
      </c>
      <c r="R22" s="70">
        <f t="shared" si="3"/>
        <v>58.52</v>
      </c>
      <c r="S22" s="74">
        <f t="shared" si="4"/>
        <v>6650.7980000000007</v>
      </c>
      <c r="T22" s="75">
        <f t="shared" si="5"/>
        <v>0.99999969928429666</v>
      </c>
      <c r="U22" s="76">
        <f t="shared" si="6"/>
        <v>0</v>
      </c>
      <c r="V22" s="77">
        <f t="shared" si="7"/>
        <v>0</v>
      </c>
      <c r="W22" s="78">
        <f t="shared" si="8"/>
        <v>0</v>
      </c>
    </row>
    <row r="23" spans="2:23" s="5" customFormat="1" ht="33" customHeight="1" x14ac:dyDescent="0.35">
      <c r="B23" s="4"/>
      <c r="C23" s="28" t="s">
        <v>41</v>
      </c>
      <c r="D23" s="28" t="s">
        <v>32</v>
      </c>
      <c r="E23" s="29" t="s">
        <v>864</v>
      </c>
      <c r="F23" s="30" t="s">
        <v>865</v>
      </c>
      <c r="G23" s="31" t="s">
        <v>214</v>
      </c>
      <c r="H23" s="32">
        <v>81.28</v>
      </c>
      <c r="I23" s="32">
        <v>81.28</v>
      </c>
      <c r="J23" s="33">
        <v>307.52</v>
      </c>
      <c r="K23" s="34">
        <f t="shared" si="0"/>
        <v>24995.23</v>
      </c>
      <c r="L23" s="90">
        <f t="shared" si="9"/>
        <v>24995.225599999998</v>
      </c>
      <c r="M23" s="90">
        <v>0</v>
      </c>
      <c r="N23" s="70">
        <v>81.28</v>
      </c>
      <c r="O23" s="71">
        <f t="shared" si="1"/>
        <v>24995.225599999998</v>
      </c>
      <c r="P23" s="72"/>
      <c r="Q23" s="73">
        <f t="shared" si="2"/>
        <v>0</v>
      </c>
      <c r="R23" s="70">
        <f t="shared" si="3"/>
        <v>81.28</v>
      </c>
      <c r="S23" s="74">
        <f t="shared" si="4"/>
        <v>24995.225599999998</v>
      </c>
      <c r="T23" s="75">
        <f t="shared" si="5"/>
        <v>0.99999982396641274</v>
      </c>
      <c r="U23" s="76">
        <f t="shared" si="6"/>
        <v>0</v>
      </c>
      <c r="V23" s="77">
        <f t="shared" si="7"/>
        <v>0</v>
      </c>
      <c r="W23" s="78">
        <f t="shared" si="8"/>
        <v>0</v>
      </c>
    </row>
    <row r="24" spans="2:23" s="5" customFormat="1" ht="33" customHeight="1" x14ac:dyDescent="0.35">
      <c r="B24" s="4"/>
      <c r="C24" s="28" t="s">
        <v>30</v>
      </c>
      <c r="D24" s="28" t="s">
        <v>32</v>
      </c>
      <c r="E24" s="29" t="s">
        <v>866</v>
      </c>
      <c r="F24" s="30" t="s">
        <v>867</v>
      </c>
      <c r="G24" s="31" t="s">
        <v>214</v>
      </c>
      <c r="H24" s="32">
        <v>34.799999999999997</v>
      </c>
      <c r="I24" s="32">
        <v>34.799999999999997</v>
      </c>
      <c r="J24" s="33">
        <v>307.52</v>
      </c>
      <c r="K24" s="34">
        <f t="shared" si="0"/>
        <v>10701.7</v>
      </c>
      <c r="L24" s="90">
        <f t="shared" si="9"/>
        <v>10701.695999999998</v>
      </c>
      <c r="M24" s="90">
        <v>0</v>
      </c>
      <c r="N24" s="70">
        <v>34.799999999999997</v>
      </c>
      <c r="O24" s="71">
        <f t="shared" si="1"/>
        <v>10701.695999999998</v>
      </c>
      <c r="P24" s="72"/>
      <c r="Q24" s="73">
        <f t="shared" si="2"/>
        <v>0</v>
      </c>
      <c r="R24" s="70">
        <f t="shared" si="3"/>
        <v>34.799999999999997</v>
      </c>
      <c r="S24" s="74">
        <f t="shared" si="4"/>
        <v>10701.695999999998</v>
      </c>
      <c r="T24" s="75">
        <f t="shared" si="5"/>
        <v>0.99999962622760841</v>
      </c>
      <c r="U24" s="76">
        <f t="shared" si="6"/>
        <v>0</v>
      </c>
      <c r="V24" s="77">
        <f t="shared" si="7"/>
        <v>0</v>
      </c>
      <c r="W24" s="78">
        <f t="shared" si="8"/>
        <v>0</v>
      </c>
    </row>
    <row r="25" spans="2:23" s="5" customFormat="1" ht="21.75" customHeight="1" x14ac:dyDescent="0.35">
      <c r="B25" s="4"/>
      <c r="C25" s="28" t="s">
        <v>46</v>
      </c>
      <c r="D25" s="28" t="s">
        <v>32</v>
      </c>
      <c r="E25" s="29" t="s">
        <v>749</v>
      </c>
      <c r="F25" s="30" t="s">
        <v>750</v>
      </c>
      <c r="G25" s="31" t="s">
        <v>207</v>
      </c>
      <c r="H25" s="32">
        <v>145.19999999999999</v>
      </c>
      <c r="I25" s="32">
        <v>145.19999999999999</v>
      </c>
      <c r="J25" s="33">
        <v>80.22</v>
      </c>
      <c r="K25" s="34">
        <f t="shared" si="0"/>
        <v>11647.94</v>
      </c>
      <c r="L25" s="90">
        <f t="shared" si="9"/>
        <v>11647.944</v>
      </c>
      <c r="M25" s="90">
        <v>0</v>
      </c>
      <c r="N25" s="70">
        <v>145.19999999999999</v>
      </c>
      <c r="O25" s="71">
        <f t="shared" si="1"/>
        <v>11647.944</v>
      </c>
      <c r="P25" s="72"/>
      <c r="Q25" s="73">
        <f t="shared" si="2"/>
        <v>0</v>
      </c>
      <c r="R25" s="70">
        <f t="shared" si="3"/>
        <v>145.19999999999999</v>
      </c>
      <c r="S25" s="74">
        <f t="shared" si="4"/>
        <v>11647.944</v>
      </c>
      <c r="T25" s="75">
        <f t="shared" si="5"/>
        <v>1.0000003434083622</v>
      </c>
      <c r="U25" s="76">
        <f t="shared" si="6"/>
        <v>0</v>
      </c>
      <c r="V25" s="77">
        <f t="shared" si="7"/>
        <v>0</v>
      </c>
      <c r="W25" s="78">
        <f t="shared" si="8"/>
        <v>0</v>
      </c>
    </row>
    <row r="26" spans="2:23" s="5" customFormat="1" ht="24.15" customHeight="1" x14ac:dyDescent="0.35">
      <c r="B26" s="4"/>
      <c r="C26" s="28" t="s">
        <v>49</v>
      </c>
      <c r="D26" s="28" t="s">
        <v>32</v>
      </c>
      <c r="E26" s="29" t="s">
        <v>751</v>
      </c>
      <c r="F26" s="30" t="s">
        <v>752</v>
      </c>
      <c r="G26" s="31" t="s">
        <v>207</v>
      </c>
      <c r="H26" s="32">
        <v>59.235999999999997</v>
      </c>
      <c r="I26" s="32">
        <v>59.235999999999997</v>
      </c>
      <c r="J26" s="33">
        <v>160.44999999999999</v>
      </c>
      <c r="K26" s="34">
        <f t="shared" si="0"/>
        <v>9504.42</v>
      </c>
      <c r="L26" s="90">
        <f t="shared" si="9"/>
        <v>9504.4161999999997</v>
      </c>
      <c r="M26" s="90">
        <v>0</v>
      </c>
      <c r="N26" s="70">
        <v>59.235999999999997</v>
      </c>
      <c r="O26" s="71">
        <f t="shared" si="1"/>
        <v>9504.4161999999997</v>
      </c>
      <c r="P26" s="72"/>
      <c r="Q26" s="73">
        <f t="shared" si="2"/>
        <v>0</v>
      </c>
      <c r="R26" s="70">
        <f t="shared" si="3"/>
        <v>59.235999999999997</v>
      </c>
      <c r="S26" s="74">
        <f t="shared" si="4"/>
        <v>9504.4161999999997</v>
      </c>
      <c r="T26" s="75">
        <f t="shared" si="5"/>
        <v>0.99999960018601863</v>
      </c>
      <c r="U26" s="76">
        <f t="shared" si="6"/>
        <v>0</v>
      </c>
      <c r="V26" s="77">
        <f t="shared" si="7"/>
        <v>0</v>
      </c>
      <c r="W26" s="78">
        <f t="shared" si="8"/>
        <v>0</v>
      </c>
    </row>
    <row r="27" spans="2:23" s="5" customFormat="1" ht="24.15" customHeight="1" x14ac:dyDescent="0.35">
      <c r="B27" s="4"/>
      <c r="C27" s="28" t="s">
        <v>52</v>
      </c>
      <c r="D27" s="28" t="s">
        <v>32</v>
      </c>
      <c r="E27" s="29" t="s">
        <v>753</v>
      </c>
      <c r="F27" s="30" t="s">
        <v>754</v>
      </c>
      <c r="G27" s="31" t="s">
        <v>207</v>
      </c>
      <c r="H27" s="32">
        <v>145.19999999999999</v>
      </c>
      <c r="I27" s="32">
        <v>145.19999999999999</v>
      </c>
      <c r="J27" s="33">
        <v>40.11</v>
      </c>
      <c r="K27" s="34">
        <f t="shared" si="0"/>
        <v>5823.97</v>
      </c>
      <c r="L27" s="90">
        <f t="shared" si="9"/>
        <v>5823.9719999999998</v>
      </c>
      <c r="M27" s="90">
        <v>0</v>
      </c>
      <c r="N27" s="70">
        <v>145.19999999999999</v>
      </c>
      <c r="O27" s="71">
        <f t="shared" si="1"/>
        <v>5823.9719999999998</v>
      </c>
      <c r="P27" s="72"/>
      <c r="Q27" s="73">
        <f t="shared" si="2"/>
        <v>0</v>
      </c>
      <c r="R27" s="70">
        <f t="shared" si="3"/>
        <v>145.19999999999999</v>
      </c>
      <c r="S27" s="74">
        <f t="shared" si="4"/>
        <v>5823.9719999999998</v>
      </c>
      <c r="T27" s="75">
        <f t="shared" si="5"/>
        <v>1.0000003434083622</v>
      </c>
      <c r="U27" s="76">
        <f t="shared" si="6"/>
        <v>0</v>
      </c>
      <c r="V27" s="77">
        <f t="shared" si="7"/>
        <v>0</v>
      </c>
      <c r="W27" s="78">
        <f t="shared" si="8"/>
        <v>0</v>
      </c>
    </row>
    <row r="28" spans="2:23" s="5" customFormat="1" ht="24.15" customHeight="1" x14ac:dyDescent="0.35">
      <c r="B28" s="4"/>
      <c r="C28" s="28" t="s">
        <v>55</v>
      </c>
      <c r="D28" s="28" t="s">
        <v>32</v>
      </c>
      <c r="E28" s="29" t="s">
        <v>755</v>
      </c>
      <c r="F28" s="30" t="s">
        <v>756</v>
      </c>
      <c r="G28" s="31" t="s">
        <v>207</v>
      </c>
      <c r="H28" s="32">
        <v>59.235999999999997</v>
      </c>
      <c r="I28" s="32">
        <v>59.235999999999997</v>
      </c>
      <c r="J28" s="33">
        <v>80.22</v>
      </c>
      <c r="K28" s="34">
        <f t="shared" si="0"/>
        <v>4751.91</v>
      </c>
      <c r="L28" s="90">
        <f t="shared" si="9"/>
        <v>4751.9119199999996</v>
      </c>
      <c r="M28" s="90">
        <v>0</v>
      </c>
      <c r="N28" s="70">
        <v>59.235999999999997</v>
      </c>
      <c r="O28" s="71">
        <f t="shared" si="1"/>
        <v>4751.9119199999996</v>
      </c>
      <c r="P28" s="72"/>
      <c r="Q28" s="73">
        <f t="shared" si="2"/>
        <v>0</v>
      </c>
      <c r="R28" s="70">
        <f t="shared" si="3"/>
        <v>59.235999999999997</v>
      </c>
      <c r="S28" s="74">
        <f t="shared" si="4"/>
        <v>4751.9119199999996</v>
      </c>
      <c r="T28" s="75">
        <f t="shared" si="5"/>
        <v>1.0000004040480563</v>
      </c>
      <c r="U28" s="76">
        <f t="shared" si="6"/>
        <v>0</v>
      </c>
      <c r="V28" s="77">
        <f t="shared" si="7"/>
        <v>0</v>
      </c>
      <c r="W28" s="78">
        <f t="shared" si="8"/>
        <v>0</v>
      </c>
    </row>
    <row r="29" spans="2:23" s="5" customFormat="1" ht="24.15" customHeight="1" x14ac:dyDescent="0.35">
      <c r="B29" s="4"/>
      <c r="C29" s="28" t="s">
        <v>58</v>
      </c>
      <c r="D29" s="28" t="s">
        <v>32</v>
      </c>
      <c r="E29" s="29" t="s">
        <v>757</v>
      </c>
      <c r="F29" s="30" t="s">
        <v>758</v>
      </c>
      <c r="G29" s="31" t="s">
        <v>214</v>
      </c>
      <c r="H29" s="32">
        <v>174.33</v>
      </c>
      <c r="I29" s="32">
        <v>174.33</v>
      </c>
      <c r="J29" s="33">
        <v>93.59</v>
      </c>
      <c r="K29" s="34">
        <f t="shared" si="0"/>
        <v>16315.54</v>
      </c>
      <c r="L29" s="90">
        <f t="shared" si="9"/>
        <v>16315.544700000002</v>
      </c>
      <c r="M29" s="90">
        <v>26.159999999999997</v>
      </c>
      <c r="N29" s="70">
        <v>174.33</v>
      </c>
      <c r="O29" s="71">
        <f t="shared" si="1"/>
        <v>16315.544700000002</v>
      </c>
      <c r="P29" s="72"/>
      <c r="Q29" s="73">
        <f t="shared" si="2"/>
        <v>0</v>
      </c>
      <c r="R29" s="70">
        <f t="shared" si="3"/>
        <v>174.33</v>
      </c>
      <c r="S29" s="74">
        <f t="shared" si="4"/>
        <v>16315.544700000002</v>
      </c>
      <c r="T29" s="75">
        <f t="shared" si="5"/>
        <v>1.0000002880689209</v>
      </c>
      <c r="U29" s="76">
        <f t="shared" si="6"/>
        <v>0</v>
      </c>
      <c r="V29" s="77">
        <f t="shared" si="7"/>
        <v>0</v>
      </c>
      <c r="W29" s="78">
        <f t="shared" si="8"/>
        <v>0</v>
      </c>
    </row>
    <row r="30" spans="2:23" s="5" customFormat="1" ht="38" customHeight="1" x14ac:dyDescent="0.35">
      <c r="B30" s="4"/>
      <c r="C30" s="28" t="s">
        <v>61</v>
      </c>
      <c r="D30" s="28" t="s">
        <v>32</v>
      </c>
      <c r="E30" s="29" t="s">
        <v>217</v>
      </c>
      <c r="F30" s="30" t="s">
        <v>218</v>
      </c>
      <c r="G30" s="31" t="s">
        <v>214</v>
      </c>
      <c r="H30" s="32">
        <v>174.33</v>
      </c>
      <c r="I30" s="32">
        <v>174.33</v>
      </c>
      <c r="J30" s="33">
        <v>213.93</v>
      </c>
      <c r="K30" s="34">
        <f t="shared" si="0"/>
        <v>37294.42</v>
      </c>
      <c r="L30" s="90">
        <f t="shared" si="9"/>
        <v>37294.416900000004</v>
      </c>
      <c r="M30" s="90">
        <v>0</v>
      </c>
      <c r="N30" s="70">
        <v>174.33</v>
      </c>
      <c r="O30" s="71">
        <f t="shared" si="1"/>
        <v>37294.416900000004</v>
      </c>
      <c r="P30" s="72"/>
      <c r="Q30" s="73">
        <f t="shared" si="2"/>
        <v>0</v>
      </c>
      <c r="R30" s="70">
        <f t="shared" si="3"/>
        <v>174.33</v>
      </c>
      <c r="S30" s="74">
        <f t="shared" si="4"/>
        <v>37294.416900000004</v>
      </c>
      <c r="T30" s="75">
        <f t="shared" si="5"/>
        <v>0.99999991687764567</v>
      </c>
      <c r="U30" s="76">
        <f t="shared" si="6"/>
        <v>0</v>
      </c>
      <c r="V30" s="77">
        <f t="shared" si="7"/>
        <v>0</v>
      </c>
      <c r="W30" s="78">
        <f t="shared" si="8"/>
        <v>0</v>
      </c>
    </row>
    <row r="31" spans="2:23" s="5" customFormat="1" ht="38" customHeight="1" x14ac:dyDescent="0.35">
      <c r="B31" s="4"/>
      <c r="C31" s="28" t="s">
        <v>64</v>
      </c>
      <c r="D31" s="28" t="s">
        <v>32</v>
      </c>
      <c r="E31" s="29" t="s">
        <v>759</v>
      </c>
      <c r="F31" s="30" t="s">
        <v>760</v>
      </c>
      <c r="G31" s="31" t="s">
        <v>214</v>
      </c>
      <c r="H31" s="32">
        <v>1743.3</v>
      </c>
      <c r="I31" s="32">
        <v>1743.3</v>
      </c>
      <c r="J31" s="33">
        <v>1.34</v>
      </c>
      <c r="K31" s="34">
        <f t="shared" si="0"/>
        <v>2336.02</v>
      </c>
      <c r="L31" s="90">
        <f t="shared" si="9"/>
        <v>2336.0219999999999</v>
      </c>
      <c r="M31" s="90">
        <v>261.59999999999991</v>
      </c>
      <c r="N31" s="70">
        <v>1743.3</v>
      </c>
      <c r="O31" s="71">
        <f t="shared" si="1"/>
        <v>2336.0219999999999</v>
      </c>
      <c r="P31" s="72"/>
      <c r="Q31" s="73">
        <f t="shared" si="2"/>
        <v>0</v>
      </c>
      <c r="R31" s="70">
        <f t="shared" si="3"/>
        <v>1743.3</v>
      </c>
      <c r="S31" s="74">
        <f t="shared" si="4"/>
        <v>2336.0219999999999</v>
      </c>
      <c r="T31" s="75">
        <f t="shared" si="5"/>
        <v>1.0000008561570535</v>
      </c>
      <c r="U31" s="76">
        <f t="shared" si="6"/>
        <v>0</v>
      </c>
      <c r="V31" s="77">
        <f t="shared" si="7"/>
        <v>0</v>
      </c>
      <c r="W31" s="78">
        <f t="shared" si="8"/>
        <v>0</v>
      </c>
    </row>
    <row r="32" spans="2:23" s="5" customFormat="1" ht="24.15" customHeight="1" x14ac:dyDescent="0.35">
      <c r="B32" s="4"/>
      <c r="C32" s="28" t="s">
        <v>130</v>
      </c>
      <c r="D32" s="28" t="s">
        <v>32</v>
      </c>
      <c r="E32" s="29" t="s">
        <v>224</v>
      </c>
      <c r="F32" s="30" t="s">
        <v>225</v>
      </c>
      <c r="G32" s="31" t="s">
        <v>214</v>
      </c>
      <c r="H32" s="32">
        <v>174.33</v>
      </c>
      <c r="I32" s="32">
        <v>174.33</v>
      </c>
      <c r="J32" s="33">
        <v>60.17</v>
      </c>
      <c r="K32" s="34">
        <f t="shared" si="0"/>
        <v>10489.44</v>
      </c>
      <c r="L32" s="90">
        <f t="shared" si="9"/>
        <v>10489.436100000001</v>
      </c>
      <c r="M32" s="90">
        <v>0</v>
      </c>
      <c r="N32" s="70">
        <v>174.33</v>
      </c>
      <c r="O32" s="71">
        <f t="shared" si="1"/>
        <v>10489.436100000001</v>
      </c>
      <c r="P32" s="72"/>
      <c r="Q32" s="73">
        <f t="shared" si="2"/>
        <v>0</v>
      </c>
      <c r="R32" s="70">
        <f t="shared" si="3"/>
        <v>174.33</v>
      </c>
      <c r="S32" s="74">
        <f t="shared" si="4"/>
        <v>10489.436100000001</v>
      </c>
      <c r="T32" s="75">
        <f t="shared" si="5"/>
        <v>0.99999962819750154</v>
      </c>
      <c r="U32" s="76">
        <f t="shared" si="6"/>
        <v>0</v>
      </c>
      <c r="V32" s="77">
        <f t="shared" si="7"/>
        <v>0</v>
      </c>
      <c r="W32" s="78">
        <f t="shared" si="8"/>
        <v>0</v>
      </c>
    </row>
    <row r="33" spans="2:23" s="5" customFormat="1" ht="33" customHeight="1" x14ac:dyDescent="0.35">
      <c r="B33" s="4"/>
      <c r="C33" s="28" t="s">
        <v>133</v>
      </c>
      <c r="D33" s="28" t="s">
        <v>32</v>
      </c>
      <c r="E33" s="29" t="s">
        <v>761</v>
      </c>
      <c r="F33" s="30" t="s">
        <v>762</v>
      </c>
      <c r="G33" s="31" t="s">
        <v>223</v>
      </c>
      <c r="H33" s="32">
        <v>313.79399999999998</v>
      </c>
      <c r="I33" s="32">
        <v>313.79399999999998</v>
      </c>
      <c r="J33" s="33">
        <v>212.59</v>
      </c>
      <c r="K33" s="34">
        <f t="shared" si="0"/>
        <v>66709.47</v>
      </c>
      <c r="L33" s="90">
        <f t="shared" si="9"/>
        <v>66709.466459999996</v>
      </c>
      <c r="M33" s="90">
        <v>47.088000000000022</v>
      </c>
      <c r="N33" s="70">
        <v>313.79399999999998</v>
      </c>
      <c r="O33" s="71">
        <f t="shared" si="1"/>
        <v>66709.466459999996</v>
      </c>
      <c r="P33" s="72"/>
      <c r="Q33" s="73">
        <f t="shared" si="2"/>
        <v>0</v>
      </c>
      <c r="R33" s="70">
        <f t="shared" si="3"/>
        <v>313.79399999999998</v>
      </c>
      <c r="S33" s="74">
        <f t="shared" si="4"/>
        <v>66709.466459999996</v>
      </c>
      <c r="T33" s="75">
        <f t="shared" si="5"/>
        <v>0.9999999469340709</v>
      </c>
      <c r="U33" s="76">
        <f t="shared" si="6"/>
        <v>0</v>
      </c>
      <c r="V33" s="77">
        <f t="shared" si="7"/>
        <v>0</v>
      </c>
      <c r="W33" s="78">
        <f t="shared" si="8"/>
        <v>0</v>
      </c>
    </row>
    <row r="34" spans="2:23" s="5" customFormat="1" ht="16.5" customHeight="1" x14ac:dyDescent="0.35">
      <c r="B34" s="4"/>
      <c r="C34" s="28" t="s">
        <v>136</v>
      </c>
      <c r="D34" s="28" t="s">
        <v>32</v>
      </c>
      <c r="E34" s="29" t="s">
        <v>763</v>
      </c>
      <c r="F34" s="30" t="s">
        <v>764</v>
      </c>
      <c r="G34" s="31" t="s">
        <v>214</v>
      </c>
      <c r="H34" s="32">
        <v>174.33</v>
      </c>
      <c r="I34" s="32">
        <v>174.33</v>
      </c>
      <c r="J34" s="33">
        <v>1.34</v>
      </c>
      <c r="K34" s="34">
        <f t="shared" si="0"/>
        <v>233.6</v>
      </c>
      <c r="L34" s="90">
        <f t="shared" si="9"/>
        <v>233.60220000000004</v>
      </c>
      <c r="M34" s="90">
        <v>0</v>
      </c>
      <c r="N34" s="70">
        <v>174.33</v>
      </c>
      <c r="O34" s="71">
        <f t="shared" si="1"/>
        <v>233.60220000000004</v>
      </c>
      <c r="P34" s="72"/>
      <c r="Q34" s="73">
        <f t="shared" si="2"/>
        <v>0</v>
      </c>
      <c r="R34" s="70">
        <f t="shared" si="3"/>
        <v>174.33</v>
      </c>
      <c r="S34" s="74">
        <f t="shared" si="4"/>
        <v>233.60220000000004</v>
      </c>
      <c r="T34" s="75">
        <f t="shared" si="5"/>
        <v>1.0000094178082193</v>
      </c>
      <c r="U34" s="76">
        <f t="shared" si="6"/>
        <v>0</v>
      </c>
      <c r="V34" s="77">
        <f t="shared" si="7"/>
        <v>0</v>
      </c>
      <c r="W34" s="78">
        <f t="shared" si="8"/>
        <v>0</v>
      </c>
    </row>
    <row r="35" spans="2:23" s="5" customFormat="1" ht="24.15" customHeight="1" x14ac:dyDescent="0.35">
      <c r="B35" s="4"/>
      <c r="C35" s="28" t="s">
        <v>74</v>
      </c>
      <c r="D35" s="28" t="s">
        <v>32</v>
      </c>
      <c r="E35" s="29" t="s">
        <v>765</v>
      </c>
      <c r="F35" s="30" t="s">
        <v>766</v>
      </c>
      <c r="G35" s="31" t="s">
        <v>214</v>
      </c>
      <c r="H35" s="32">
        <v>63.786000000000001</v>
      </c>
      <c r="I35" s="32">
        <v>63.786000000000001</v>
      </c>
      <c r="J35" s="33">
        <v>213.93</v>
      </c>
      <c r="K35" s="34">
        <f t="shared" si="0"/>
        <v>13645.74</v>
      </c>
      <c r="L35" s="90">
        <f t="shared" si="9"/>
        <v>13645.73898</v>
      </c>
      <c r="M35" s="90">
        <v>9.8299999999999983</v>
      </c>
      <c r="N35" s="70">
        <v>63.786000000000001</v>
      </c>
      <c r="O35" s="71">
        <f t="shared" si="1"/>
        <v>13645.73898</v>
      </c>
      <c r="P35" s="72"/>
      <c r="Q35" s="73">
        <f t="shared" si="2"/>
        <v>0</v>
      </c>
      <c r="R35" s="70">
        <f t="shared" si="3"/>
        <v>63.786000000000001</v>
      </c>
      <c r="S35" s="74">
        <f t="shared" si="4"/>
        <v>13645.73898</v>
      </c>
      <c r="T35" s="75">
        <f t="shared" si="5"/>
        <v>0.99999992525139714</v>
      </c>
      <c r="U35" s="76">
        <f t="shared" si="6"/>
        <v>0</v>
      </c>
      <c r="V35" s="77">
        <f t="shared" si="7"/>
        <v>0</v>
      </c>
      <c r="W35" s="78">
        <f t="shared" si="8"/>
        <v>0</v>
      </c>
    </row>
    <row r="36" spans="2:23" s="5" customFormat="1" ht="16.5" customHeight="1" x14ac:dyDescent="0.35">
      <c r="B36" s="4"/>
      <c r="C36" s="38" t="s">
        <v>143</v>
      </c>
      <c r="D36" s="38" t="s">
        <v>193</v>
      </c>
      <c r="E36" s="39" t="s">
        <v>767</v>
      </c>
      <c r="F36" s="40" t="s">
        <v>768</v>
      </c>
      <c r="G36" s="41" t="s">
        <v>223</v>
      </c>
      <c r="H36" s="42">
        <v>5.2880000000000003</v>
      </c>
      <c r="I36" s="42">
        <v>5.2880000000000003</v>
      </c>
      <c r="J36" s="43">
        <v>414.49</v>
      </c>
      <c r="K36" s="44">
        <f t="shared" si="0"/>
        <v>2191.8200000000002</v>
      </c>
      <c r="L36" s="90">
        <f t="shared" si="9"/>
        <v>2191.82312</v>
      </c>
      <c r="M36" s="90">
        <v>0</v>
      </c>
      <c r="N36" s="70">
        <v>5.2880000000000003</v>
      </c>
      <c r="O36" s="71">
        <f t="shared" si="1"/>
        <v>2191.82312</v>
      </c>
      <c r="P36" s="72"/>
      <c r="Q36" s="73">
        <f t="shared" si="2"/>
        <v>0</v>
      </c>
      <c r="R36" s="70">
        <f t="shared" si="3"/>
        <v>5.2880000000000003</v>
      </c>
      <c r="S36" s="74">
        <f t="shared" si="4"/>
        <v>2191.82312</v>
      </c>
      <c r="T36" s="75">
        <f t="shared" si="5"/>
        <v>1.0000014234745553</v>
      </c>
      <c r="U36" s="76">
        <f t="shared" si="6"/>
        <v>0</v>
      </c>
      <c r="V36" s="77">
        <f t="shared" si="7"/>
        <v>0</v>
      </c>
      <c r="W36" s="78">
        <f t="shared" si="8"/>
        <v>0</v>
      </c>
    </row>
    <row r="37" spans="2:23" s="5" customFormat="1" ht="24.15" customHeight="1" x14ac:dyDescent="0.35">
      <c r="B37" s="4"/>
      <c r="C37" s="28" t="s">
        <v>147</v>
      </c>
      <c r="D37" s="28" t="s">
        <v>32</v>
      </c>
      <c r="E37" s="29" t="s">
        <v>769</v>
      </c>
      <c r="F37" s="30" t="s">
        <v>770</v>
      </c>
      <c r="G37" s="31" t="s">
        <v>214</v>
      </c>
      <c r="H37" s="32">
        <v>99.748000000000005</v>
      </c>
      <c r="I37" s="32">
        <v>99.748000000000005</v>
      </c>
      <c r="J37" s="33">
        <v>347.64</v>
      </c>
      <c r="K37" s="34">
        <f t="shared" si="0"/>
        <v>34676.39</v>
      </c>
      <c r="L37" s="90">
        <f t="shared" si="9"/>
        <v>34676.394720000004</v>
      </c>
      <c r="M37" s="90">
        <v>10.879999999999995</v>
      </c>
      <c r="N37" s="70">
        <v>99.748000000000005</v>
      </c>
      <c r="O37" s="71">
        <f t="shared" si="1"/>
        <v>34676.394720000004</v>
      </c>
      <c r="P37" s="72"/>
      <c r="Q37" s="73">
        <f t="shared" si="2"/>
        <v>0</v>
      </c>
      <c r="R37" s="70">
        <f t="shared" si="3"/>
        <v>99.748000000000005</v>
      </c>
      <c r="S37" s="74">
        <f t="shared" si="4"/>
        <v>34676.394720000004</v>
      </c>
      <c r="T37" s="75">
        <f t="shared" si="5"/>
        <v>1.0000001361156685</v>
      </c>
      <c r="U37" s="76">
        <f t="shared" si="6"/>
        <v>0</v>
      </c>
      <c r="V37" s="77">
        <f t="shared" si="7"/>
        <v>0</v>
      </c>
      <c r="W37" s="78">
        <f t="shared" si="8"/>
        <v>0</v>
      </c>
    </row>
    <row r="38" spans="2:23" s="5" customFormat="1" ht="16.5" customHeight="1" x14ac:dyDescent="0.35">
      <c r="B38" s="4"/>
      <c r="C38" s="38" t="s">
        <v>149</v>
      </c>
      <c r="D38" s="38" t="s">
        <v>193</v>
      </c>
      <c r="E38" s="39" t="s">
        <v>771</v>
      </c>
      <c r="F38" s="40" t="s">
        <v>772</v>
      </c>
      <c r="G38" s="41" t="s">
        <v>223</v>
      </c>
      <c r="H38" s="42">
        <v>84.656000000000006</v>
      </c>
      <c r="I38" s="42">
        <v>84.656000000000006</v>
      </c>
      <c r="J38" s="43">
        <v>401.12</v>
      </c>
      <c r="K38" s="44">
        <f t="shared" si="0"/>
        <v>33957.21</v>
      </c>
      <c r="L38" s="90">
        <f t="shared" si="9"/>
        <v>33957.214720000004</v>
      </c>
      <c r="M38" s="90">
        <v>19.584000000000003</v>
      </c>
      <c r="N38" s="70">
        <v>84.656000000000006</v>
      </c>
      <c r="O38" s="71">
        <f t="shared" si="1"/>
        <v>33957.214720000004</v>
      </c>
      <c r="P38" s="72"/>
      <c r="Q38" s="73">
        <f t="shared" si="2"/>
        <v>0</v>
      </c>
      <c r="R38" s="70">
        <f t="shared" si="3"/>
        <v>84.656000000000006</v>
      </c>
      <c r="S38" s="74">
        <f t="shared" si="4"/>
        <v>33957.214720000004</v>
      </c>
      <c r="T38" s="75">
        <f t="shared" si="5"/>
        <v>1.0000001389984632</v>
      </c>
      <c r="U38" s="76">
        <f t="shared" si="6"/>
        <v>0</v>
      </c>
      <c r="V38" s="77">
        <f t="shared" si="7"/>
        <v>0</v>
      </c>
      <c r="W38" s="78">
        <f t="shared" si="8"/>
        <v>0</v>
      </c>
    </row>
    <row r="39" spans="2:23" s="5" customFormat="1" ht="16.5" customHeight="1" x14ac:dyDescent="0.35">
      <c r="B39" s="4"/>
      <c r="C39" s="38" t="s">
        <v>151</v>
      </c>
      <c r="D39" s="38" t="s">
        <v>193</v>
      </c>
      <c r="E39" s="39" t="s">
        <v>773</v>
      </c>
      <c r="F39" s="40" t="s">
        <v>774</v>
      </c>
      <c r="G39" s="41" t="s">
        <v>223</v>
      </c>
      <c r="H39" s="42">
        <v>99.84</v>
      </c>
      <c r="I39" s="42">
        <v>99.84</v>
      </c>
      <c r="J39" s="43">
        <v>294.14999999999998</v>
      </c>
      <c r="K39" s="44">
        <f t="shared" si="0"/>
        <v>29367.94</v>
      </c>
      <c r="L39" s="90">
        <f t="shared" si="9"/>
        <v>29367.935999999998</v>
      </c>
      <c r="M39" s="90">
        <v>0</v>
      </c>
      <c r="N39" s="70">
        <v>99.84</v>
      </c>
      <c r="O39" s="71">
        <f t="shared" si="1"/>
        <v>29367.935999999998</v>
      </c>
      <c r="P39" s="72"/>
      <c r="Q39" s="73">
        <f t="shared" si="2"/>
        <v>0</v>
      </c>
      <c r="R39" s="70">
        <f t="shared" si="3"/>
        <v>99.84</v>
      </c>
      <c r="S39" s="74">
        <f t="shared" si="4"/>
        <v>29367.935999999998</v>
      </c>
      <c r="T39" s="75">
        <f t="shared" si="5"/>
        <v>0.99999986379705208</v>
      </c>
      <c r="U39" s="76">
        <f t="shared" si="6"/>
        <v>0</v>
      </c>
      <c r="V39" s="77">
        <f t="shared" si="7"/>
        <v>0</v>
      </c>
      <c r="W39" s="78">
        <f t="shared" si="8"/>
        <v>0</v>
      </c>
    </row>
    <row r="40" spans="2:23" s="5" customFormat="1" ht="16.5" customHeight="1" x14ac:dyDescent="0.35">
      <c r="B40" s="4"/>
      <c r="C40" s="38" t="s">
        <v>155</v>
      </c>
      <c r="D40" s="38" t="s">
        <v>193</v>
      </c>
      <c r="E40" s="39" t="s">
        <v>775</v>
      </c>
      <c r="F40" s="40" t="s">
        <v>776</v>
      </c>
      <c r="G40" s="41" t="s">
        <v>223</v>
      </c>
      <c r="H40" s="42">
        <v>15</v>
      </c>
      <c r="I40" s="42">
        <v>15</v>
      </c>
      <c r="J40" s="43">
        <v>294.14999999999998</v>
      </c>
      <c r="K40" s="44">
        <f t="shared" si="0"/>
        <v>4412.25</v>
      </c>
      <c r="L40" s="90">
        <f t="shared" si="9"/>
        <v>4412.25</v>
      </c>
      <c r="M40" s="90">
        <v>0</v>
      </c>
      <c r="N40" s="70">
        <v>15</v>
      </c>
      <c r="O40" s="71">
        <f t="shared" si="1"/>
        <v>4412.25</v>
      </c>
      <c r="P40" s="72"/>
      <c r="Q40" s="73">
        <f t="shared" si="2"/>
        <v>0</v>
      </c>
      <c r="R40" s="70">
        <f t="shared" si="3"/>
        <v>15</v>
      </c>
      <c r="S40" s="74">
        <f t="shared" si="4"/>
        <v>4412.25</v>
      </c>
      <c r="T40" s="75">
        <f t="shared" si="5"/>
        <v>1</v>
      </c>
      <c r="U40" s="76">
        <f t="shared" si="6"/>
        <v>0</v>
      </c>
      <c r="V40" s="77">
        <f t="shared" si="7"/>
        <v>0</v>
      </c>
      <c r="W40" s="78">
        <f t="shared" si="8"/>
        <v>0</v>
      </c>
    </row>
    <row r="41" spans="2:23" s="5" customFormat="1" ht="24.15" customHeight="1" x14ac:dyDescent="0.35">
      <c r="B41" s="4"/>
      <c r="C41" s="28" t="s">
        <v>157</v>
      </c>
      <c r="D41" s="28" t="s">
        <v>32</v>
      </c>
      <c r="E41" s="29" t="s">
        <v>777</v>
      </c>
      <c r="F41" s="30" t="s">
        <v>778</v>
      </c>
      <c r="G41" s="31" t="s">
        <v>207</v>
      </c>
      <c r="H41" s="32">
        <v>160.19999999999999</v>
      </c>
      <c r="I41" s="32">
        <v>160.19999999999999</v>
      </c>
      <c r="J41" s="33">
        <v>33.43</v>
      </c>
      <c r="K41" s="34">
        <f t="shared" si="0"/>
        <v>5355.49</v>
      </c>
      <c r="L41" s="90">
        <f t="shared" si="9"/>
        <v>5355.4859999999999</v>
      </c>
      <c r="M41" s="90">
        <v>0</v>
      </c>
      <c r="N41" s="70">
        <v>0</v>
      </c>
      <c r="O41" s="71">
        <f t="shared" si="1"/>
        <v>0</v>
      </c>
      <c r="P41" s="72">
        <v>160.19999999999999</v>
      </c>
      <c r="Q41" s="73">
        <f t="shared" si="2"/>
        <v>5355.4859999999999</v>
      </c>
      <c r="R41" s="70">
        <f t="shared" si="3"/>
        <v>160.19999999999999</v>
      </c>
      <c r="S41" s="74">
        <f t="shared" si="4"/>
        <v>5355.4859999999999</v>
      </c>
      <c r="T41" s="75">
        <f t="shared" si="5"/>
        <v>0.99999925310289073</v>
      </c>
      <c r="U41" s="76">
        <f t="shared" si="6"/>
        <v>0</v>
      </c>
      <c r="V41" s="77">
        <f t="shared" si="7"/>
        <v>0</v>
      </c>
      <c r="W41" s="78">
        <f t="shared" si="8"/>
        <v>0</v>
      </c>
    </row>
    <row r="42" spans="2:23" s="5" customFormat="1" ht="16.5" customHeight="1" x14ac:dyDescent="0.35">
      <c r="B42" s="4"/>
      <c r="C42" s="38" t="s">
        <v>159</v>
      </c>
      <c r="D42" s="38" t="s">
        <v>193</v>
      </c>
      <c r="E42" s="39" t="s">
        <v>779</v>
      </c>
      <c r="F42" s="40" t="s">
        <v>780</v>
      </c>
      <c r="G42" s="41" t="s">
        <v>323</v>
      </c>
      <c r="H42" s="42">
        <v>4.0049999999999999</v>
      </c>
      <c r="I42" s="42">
        <v>4.0049999999999999</v>
      </c>
      <c r="J42" s="43">
        <v>187.19</v>
      </c>
      <c r="K42" s="44">
        <f t="shared" si="0"/>
        <v>749.7</v>
      </c>
      <c r="L42" s="90">
        <f t="shared" si="9"/>
        <v>749.69594999999993</v>
      </c>
      <c r="M42" s="90">
        <v>0</v>
      </c>
      <c r="N42" s="70">
        <v>0</v>
      </c>
      <c r="O42" s="71">
        <f t="shared" si="1"/>
        <v>0</v>
      </c>
      <c r="P42" s="72">
        <v>4.0049999999999999</v>
      </c>
      <c r="Q42" s="73">
        <f t="shared" si="2"/>
        <v>749.69594999999993</v>
      </c>
      <c r="R42" s="70">
        <f t="shared" si="3"/>
        <v>4.0049999999999999</v>
      </c>
      <c r="S42" s="74">
        <f t="shared" si="4"/>
        <v>749.69594999999993</v>
      </c>
      <c r="T42" s="75">
        <f t="shared" si="5"/>
        <v>0.99999459783913547</v>
      </c>
      <c r="U42" s="76">
        <f t="shared" si="6"/>
        <v>0</v>
      </c>
      <c r="V42" s="77">
        <f t="shared" si="7"/>
        <v>0</v>
      </c>
      <c r="W42" s="78">
        <f t="shared" si="8"/>
        <v>0</v>
      </c>
    </row>
    <row r="43" spans="2:23" s="23" customFormat="1" ht="26" customHeight="1" x14ac:dyDescent="0.35">
      <c r="B43" s="22"/>
      <c r="D43" s="24" t="s">
        <v>27</v>
      </c>
      <c r="E43" s="25" t="s">
        <v>371</v>
      </c>
      <c r="F43" s="25" t="s">
        <v>795</v>
      </c>
      <c r="J43" s="26"/>
      <c r="K43" s="27">
        <f>SUM(K44:K45)</f>
        <v>23027.64</v>
      </c>
      <c r="L43" s="27">
        <f>SUM(L44:L45)</f>
        <v>23027.640560000003</v>
      </c>
      <c r="M43" s="90"/>
      <c r="O43" s="27">
        <f>SUM(O44:O45)</f>
        <v>23027.640560000003</v>
      </c>
      <c r="Q43" s="27">
        <f>SUM(Q44:Q45)</f>
        <v>0</v>
      </c>
      <c r="S43" s="27">
        <f>SUM(S44:S45)</f>
        <v>23027.640560000003</v>
      </c>
      <c r="V43" s="27">
        <f>SUM(V44:V45)</f>
        <v>0</v>
      </c>
    </row>
    <row r="44" spans="2:23" s="5" customFormat="1" ht="16.5" customHeight="1" x14ac:dyDescent="0.35">
      <c r="B44" s="4"/>
      <c r="C44" s="28" t="s">
        <v>161</v>
      </c>
      <c r="D44" s="28" t="s">
        <v>32</v>
      </c>
      <c r="E44" s="29" t="s">
        <v>796</v>
      </c>
      <c r="F44" s="30" t="s">
        <v>797</v>
      </c>
      <c r="G44" s="31" t="s">
        <v>214</v>
      </c>
      <c r="H44" s="32">
        <v>15.38</v>
      </c>
      <c r="I44" s="32">
        <v>15.38</v>
      </c>
      <c r="J44" s="33">
        <v>1136.5</v>
      </c>
      <c r="K44" s="34">
        <f>ROUND(J44*H44,2)</f>
        <v>17479.37</v>
      </c>
      <c r="L44" s="90">
        <f t="shared" si="9"/>
        <v>17479.370000000003</v>
      </c>
      <c r="M44" s="90">
        <v>3.5200000000000014</v>
      </c>
      <c r="N44" s="70">
        <v>15.38</v>
      </c>
      <c r="O44" s="71">
        <f>N44*J44</f>
        <v>17479.370000000003</v>
      </c>
      <c r="P44" s="72"/>
      <c r="Q44" s="73">
        <f>P44*J44</f>
        <v>0</v>
      </c>
      <c r="R44" s="70">
        <f>P44+N44</f>
        <v>15.38</v>
      </c>
      <c r="S44" s="74">
        <f>R44*J44</f>
        <v>17479.370000000003</v>
      </c>
      <c r="T44" s="75">
        <f>S44/K44</f>
        <v>1.0000000000000002</v>
      </c>
      <c r="U44" s="76">
        <f>H44-R44</f>
        <v>0</v>
      </c>
      <c r="V44" s="77">
        <f>U44*J44</f>
        <v>0</v>
      </c>
      <c r="W44" s="78">
        <f>U44/H44</f>
        <v>0</v>
      </c>
    </row>
    <row r="45" spans="2:23" s="5" customFormat="1" ht="33" customHeight="1" x14ac:dyDescent="0.35">
      <c r="B45" s="4"/>
      <c r="C45" s="28" t="s">
        <v>163</v>
      </c>
      <c r="D45" s="28" t="s">
        <v>32</v>
      </c>
      <c r="E45" s="29" t="s">
        <v>798</v>
      </c>
      <c r="F45" s="30" t="s">
        <v>799</v>
      </c>
      <c r="G45" s="31" t="s">
        <v>214</v>
      </c>
      <c r="H45" s="32">
        <v>3.1920000000000002</v>
      </c>
      <c r="I45" s="32">
        <v>3.1920000000000002</v>
      </c>
      <c r="J45" s="33">
        <v>1738.18</v>
      </c>
      <c r="K45" s="34">
        <f>ROUND(J45*H45,2)</f>
        <v>5548.27</v>
      </c>
      <c r="L45" s="90">
        <f t="shared" si="9"/>
        <v>5548.2705600000008</v>
      </c>
      <c r="M45" s="90">
        <v>0</v>
      </c>
      <c r="N45" s="70">
        <v>3.1920000000000002</v>
      </c>
      <c r="O45" s="71">
        <f>N45*J45</f>
        <v>5548.2705600000008</v>
      </c>
      <c r="P45" s="72"/>
      <c r="Q45" s="73">
        <f>P45*J45</f>
        <v>0</v>
      </c>
      <c r="R45" s="70">
        <f>P45+N45</f>
        <v>3.1920000000000002</v>
      </c>
      <c r="S45" s="74">
        <f>R45*J45</f>
        <v>5548.2705600000008</v>
      </c>
      <c r="T45" s="75">
        <f>S45/K45</f>
        <v>1.0000001009323627</v>
      </c>
      <c r="U45" s="76">
        <f>H45-R45</f>
        <v>0</v>
      </c>
      <c r="V45" s="77">
        <f>U45*J45</f>
        <v>0</v>
      </c>
      <c r="W45" s="78">
        <f>U45/H45</f>
        <v>0</v>
      </c>
    </row>
    <row r="46" spans="2:23" s="23" customFormat="1" ht="26" customHeight="1" x14ac:dyDescent="0.35">
      <c r="B46" s="22"/>
      <c r="D46" s="24" t="s">
        <v>27</v>
      </c>
      <c r="E46" s="25" t="s">
        <v>374</v>
      </c>
      <c r="F46" s="25" t="s">
        <v>800</v>
      </c>
      <c r="J46" s="26"/>
      <c r="K46" s="27">
        <f>SUM(K47)</f>
        <v>7011.5</v>
      </c>
      <c r="L46" s="27">
        <f>SUM(L47)</f>
        <v>7011.5039999999999</v>
      </c>
      <c r="M46" s="27"/>
      <c r="O46" s="27">
        <f>SUM(O47)</f>
        <v>7011.5039999999999</v>
      </c>
      <c r="Q46" s="27">
        <f>SUM(Q47)</f>
        <v>0</v>
      </c>
      <c r="S46" s="27">
        <f>SUM(S47)</f>
        <v>7011.5039999999999</v>
      </c>
      <c r="V46" s="27">
        <f>SUM(V47)</f>
        <v>0</v>
      </c>
    </row>
    <row r="47" spans="2:23" s="5" customFormat="1" ht="33" customHeight="1" x14ac:dyDescent="0.35">
      <c r="B47" s="4"/>
      <c r="C47" s="28" t="s">
        <v>166</v>
      </c>
      <c r="D47" s="28" t="s">
        <v>32</v>
      </c>
      <c r="E47" s="29" t="s">
        <v>868</v>
      </c>
      <c r="F47" s="30" t="s">
        <v>869</v>
      </c>
      <c r="G47" s="31" t="s">
        <v>207</v>
      </c>
      <c r="H47" s="32">
        <v>13.8</v>
      </c>
      <c r="I47" s="32">
        <v>13.8</v>
      </c>
      <c r="J47" s="33">
        <v>508.08</v>
      </c>
      <c r="K47" s="34">
        <f>ROUND(J47*H47,2)</f>
        <v>7011.5</v>
      </c>
      <c r="L47" s="90">
        <f t="shared" si="9"/>
        <v>7011.5039999999999</v>
      </c>
      <c r="M47" s="90"/>
      <c r="N47" s="70">
        <v>13.8</v>
      </c>
      <c r="O47" s="71">
        <f>N47*J47</f>
        <v>7011.5039999999999</v>
      </c>
      <c r="P47" s="72"/>
      <c r="Q47" s="73">
        <f>P47*J47</f>
        <v>0</v>
      </c>
      <c r="R47" s="70">
        <f>P47+N47</f>
        <v>13.8</v>
      </c>
      <c r="S47" s="74">
        <f>R47*J47</f>
        <v>7011.5039999999999</v>
      </c>
      <c r="T47" s="75">
        <f>S47/K47</f>
        <v>1.0000005704913357</v>
      </c>
      <c r="U47" s="76">
        <f>H47-R47</f>
        <v>0</v>
      </c>
      <c r="V47" s="77">
        <f>U47*J47</f>
        <v>0</v>
      </c>
      <c r="W47" s="78">
        <f>U47/H47</f>
        <v>0</v>
      </c>
    </row>
    <row r="48" spans="2:23" s="23" customFormat="1" ht="26" customHeight="1" x14ac:dyDescent="0.35">
      <c r="B48" s="22"/>
      <c r="D48" s="24" t="s">
        <v>27</v>
      </c>
      <c r="E48" s="25" t="s">
        <v>450</v>
      </c>
      <c r="F48" s="25" t="s">
        <v>803</v>
      </c>
      <c r="J48" s="26"/>
      <c r="K48" s="27">
        <f>SUM(K49:K56)</f>
        <v>90062.459999999992</v>
      </c>
      <c r="L48" s="27">
        <f>SUM(L49:L56)</f>
        <v>90062.463799999998</v>
      </c>
      <c r="M48" s="27"/>
      <c r="O48" s="27">
        <f>SUM(O49:O56)</f>
        <v>76553.094229999988</v>
      </c>
      <c r="Q48" s="27">
        <f>SUM(Q49:Q56)</f>
        <v>0</v>
      </c>
      <c r="S48" s="27">
        <f>SUM(S49:S56)</f>
        <v>76553.094229999988</v>
      </c>
      <c r="V48" s="27">
        <f>SUM(V49:V56)</f>
        <v>13509.369570000003</v>
      </c>
    </row>
    <row r="49" spans="2:23" s="5" customFormat="1" ht="24.15" customHeight="1" x14ac:dyDescent="0.35">
      <c r="B49" s="4"/>
      <c r="C49" s="28" t="s">
        <v>169</v>
      </c>
      <c r="D49" s="28" t="s">
        <v>32</v>
      </c>
      <c r="E49" s="29" t="s">
        <v>804</v>
      </c>
      <c r="F49" s="30" t="s">
        <v>805</v>
      </c>
      <c r="G49" s="31" t="s">
        <v>120</v>
      </c>
      <c r="H49" s="32">
        <v>43</v>
      </c>
      <c r="I49" s="32">
        <v>43</v>
      </c>
      <c r="J49" s="33">
        <v>106.96</v>
      </c>
      <c r="K49" s="34">
        <f t="shared" ref="K49:K56" si="10">ROUND(J49*H49,2)</f>
        <v>4599.28</v>
      </c>
      <c r="L49" s="90">
        <f t="shared" si="9"/>
        <v>4599.28</v>
      </c>
      <c r="M49" s="90">
        <v>0</v>
      </c>
      <c r="N49" s="70">
        <v>36.549999999999997</v>
      </c>
      <c r="O49" s="71">
        <f t="shared" ref="O49:O56" si="11">N49*J49</f>
        <v>3909.3879999999995</v>
      </c>
      <c r="P49" s="72"/>
      <c r="Q49" s="73">
        <f t="shared" ref="Q49:Q56" si="12">P49*J49</f>
        <v>0</v>
      </c>
      <c r="R49" s="70">
        <f t="shared" ref="R49:R56" si="13">P49+N49</f>
        <v>36.549999999999997</v>
      </c>
      <c r="S49" s="74">
        <f t="shared" ref="S49:S56" si="14">R49*J49</f>
        <v>3909.3879999999995</v>
      </c>
      <c r="T49" s="75">
        <f t="shared" ref="T49:T56" si="15">S49/K49</f>
        <v>0.85</v>
      </c>
      <c r="U49" s="76">
        <f t="shared" ref="U49:U56" si="16">H49-R49</f>
        <v>6.4500000000000028</v>
      </c>
      <c r="V49" s="77">
        <f t="shared" ref="V49:V56" si="17">U49*J49</f>
        <v>689.89200000000028</v>
      </c>
      <c r="W49" s="78">
        <f t="shared" ref="W49:W56" si="18">U49/H49</f>
        <v>0.15000000000000008</v>
      </c>
    </row>
    <row r="50" spans="2:23" s="5" customFormat="1" ht="24.15" customHeight="1" x14ac:dyDescent="0.35">
      <c r="B50" s="4"/>
      <c r="C50" s="38" t="s">
        <v>170</v>
      </c>
      <c r="D50" s="38" t="s">
        <v>193</v>
      </c>
      <c r="E50" s="39" t="s">
        <v>806</v>
      </c>
      <c r="F50" s="40" t="s">
        <v>807</v>
      </c>
      <c r="G50" s="41" t="s">
        <v>120</v>
      </c>
      <c r="H50" s="42">
        <v>44.29</v>
      </c>
      <c r="I50" s="42">
        <v>44.29</v>
      </c>
      <c r="J50" s="43">
        <v>35.979999999999997</v>
      </c>
      <c r="K50" s="44">
        <f t="shared" si="10"/>
        <v>1593.55</v>
      </c>
      <c r="L50" s="90">
        <f t="shared" si="9"/>
        <v>1593.5541999999998</v>
      </c>
      <c r="M50" s="90">
        <v>0</v>
      </c>
      <c r="N50" s="70">
        <v>37.646499999999996</v>
      </c>
      <c r="O50" s="71">
        <f t="shared" si="11"/>
        <v>1354.5210699999998</v>
      </c>
      <c r="P50" s="72"/>
      <c r="Q50" s="73">
        <f t="shared" si="12"/>
        <v>0</v>
      </c>
      <c r="R50" s="70">
        <f t="shared" si="13"/>
        <v>37.646499999999996</v>
      </c>
      <c r="S50" s="74">
        <f t="shared" si="14"/>
        <v>1354.5210699999998</v>
      </c>
      <c r="T50" s="75">
        <f t="shared" si="15"/>
        <v>0.85000224028113325</v>
      </c>
      <c r="U50" s="76">
        <f t="shared" si="16"/>
        <v>6.6435000000000031</v>
      </c>
      <c r="V50" s="77">
        <f t="shared" si="17"/>
        <v>239.03313000000009</v>
      </c>
      <c r="W50" s="78">
        <f t="shared" si="18"/>
        <v>0.15000000000000008</v>
      </c>
    </row>
    <row r="51" spans="2:23" s="5" customFormat="1" ht="24.15" customHeight="1" x14ac:dyDescent="0.35">
      <c r="B51" s="4"/>
      <c r="C51" s="28" t="s">
        <v>171</v>
      </c>
      <c r="D51" s="28" t="s">
        <v>32</v>
      </c>
      <c r="E51" s="29" t="s">
        <v>870</v>
      </c>
      <c r="F51" s="30" t="s">
        <v>871</v>
      </c>
      <c r="G51" s="31" t="s">
        <v>120</v>
      </c>
      <c r="H51" s="32">
        <v>58</v>
      </c>
      <c r="I51" s="32">
        <v>58</v>
      </c>
      <c r="J51" s="33">
        <v>120.34</v>
      </c>
      <c r="K51" s="34">
        <f t="shared" si="10"/>
        <v>6979.72</v>
      </c>
      <c r="L51" s="90">
        <f t="shared" si="9"/>
        <v>6979.72</v>
      </c>
      <c r="M51" s="90">
        <v>0</v>
      </c>
      <c r="N51" s="70">
        <v>49.3</v>
      </c>
      <c r="O51" s="71">
        <f t="shared" si="11"/>
        <v>5932.7619999999997</v>
      </c>
      <c r="P51" s="72"/>
      <c r="Q51" s="73">
        <f t="shared" si="12"/>
        <v>0</v>
      </c>
      <c r="R51" s="70">
        <f t="shared" si="13"/>
        <v>49.3</v>
      </c>
      <c r="S51" s="74">
        <f t="shared" si="14"/>
        <v>5932.7619999999997</v>
      </c>
      <c r="T51" s="75">
        <f t="shared" si="15"/>
        <v>0.85</v>
      </c>
      <c r="U51" s="76">
        <f t="shared" si="16"/>
        <v>8.7000000000000028</v>
      </c>
      <c r="V51" s="77">
        <f t="shared" si="17"/>
        <v>1046.9580000000003</v>
      </c>
      <c r="W51" s="78">
        <f t="shared" si="18"/>
        <v>0.15000000000000005</v>
      </c>
    </row>
    <row r="52" spans="2:23" s="5" customFormat="1" ht="24.15" customHeight="1" x14ac:dyDescent="0.35">
      <c r="B52" s="4"/>
      <c r="C52" s="38" t="s">
        <v>172</v>
      </c>
      <c r="D52" s="38" t="s">
        <v>193</v>
      </c>
      <c r="E52" s="39" t="s">
        <v>872</v>
      </c>
      <c r="F52" s="40" t="s">
        <v>873</v>
      </c>
      <c r="G52" s="41" t="s">
        <v>120</v>
      </c>
      <c r="H52" s="42">
        <v>59.74</v>
      </c>
      <c r="I52" s="42">
        <v>59.74</v>
      </c>
      <c r="J52" s="43">
        <v>408.62</v>
      </c>
      <c r="K52" s="44">
        <f t="shared" si="10"/>
        <v>24410.959999999999</v>
      </c>
      <c r="L52" s="90">
        <f t="shared" si="9"/>
        <v>24410.9588</v>
      </c>
      <c r="M52" s="90">
        <v>0</v>
      </c>
      <c r="N52" s="70">
        <v>50.779000000000003</v>
      </c>
      <c r="O52" s="71">
        <f t="shared" si="11"/>
        <v>20749.314980000003</v>
      </c>
      <c r="P52" s="72"/>
      <c r="Q52" s="73">
        <f t="shared" si="12"/>
        <v>0</v>
      </c>
      <c r="R52" s="70">
        <f t="shared" si="13"/>
        <v>50.779000000000003</v>
      </c>
      <c r="S52" s="74">
        <f t="shared" si="14"/>
        <v>20749.314980000003</v>
      </c>
      <c r="T52" s="75">
        <f t="shared" si="15"/>
        <v>0.84999995821549024</v>
      </c>
      <c r="U52" s="76">
        <f t="shared" si="16"/>
        <v>8.9609999999999985</v>
      </c>
      <c r="V52" s="77">
        <f t="shared" si="17"/>
        <v>3661.6438199999993</v>
      </c>
      <c r="W52" s="78">
        <f t="shared" si="18"/>
        <v>0.14999999999999997</v>
      </c>
    </row>
    <row r="53" spans="2:23" s="5" customFormat="1" ht="24.15" customHeight="1" x14ac:dyDescent="0.35">
      <c r="B53" s="4"/>
      <c r="C53" s="28" t="s">
        <v>173</v>
      </c>
      <c r="D53" s="28" t="s">
        <v>32</v>
      </c>
      <c r="E53" s="29" t="s">
        <v>808</v>
      </c>
      <c r="F53" s="30" t="s">
        <v>809</v>
      </c>
      <c r="G53" s="31" t="s">
        <v>120</v>
      </c>
      <c r="H53" s="32">
        <v>22</v>
      </c>
      <c r="I53" s="32">
        <v>22</v>
      </c>
      <c r="J53" s="33">
        <v>147.08000000000001</v>
      </c>
      <c r="K53" s="34">
        <f t="shared" si="10"/>
        <v>3235.76</v>
      </c>
      <c r="L53" s="90">
        <f t="shared" si="9"/>
        <v>3235.76</v>
      </c>
      <c r="M53" s="90">
        <v>0</v>
      </c>
      <c r="N53" s="70">
        <v>18.7</v>
      </c>
      <c r="O53" s="71">
        <f t="shared" si="11"/>
        <v>2750.3960000000002</v>
      </c>
      <c r="P53" s="72"/>
      <c r="Q53" s="73">
        <f t="shared" si="12"/>
        <v>0</v>
      </c>
      <c r="R53" s="70">
        <f t="shared" si="13"/>
        <v>18.7</v>
      </c>
      <c r="S53" s="74">
        <f t="shared" si="14"/>
        <v>2750.3960000000002</v>
      </c>
      <c r="T53" s="75">
        <f t="shared" si="15"/>
        <v>0.85</v>
      </c>
      <c r="U53" s="76">
        <f t="shared" si="16"/>
        <v>3.3000000000000007</v>
      </c>
      <c r="V53" s="77">
        <f t="shared" si="17"/>
        <v>485.36400000000015</v>
      </c>
      <c r="W53" s="78">
        <f t="shared" si="18"/>
        <v>0.15000000000000002</v>
      </c>
    </row>
    <row r="54" spans="2:23" s="5" customFormat="1" ht="24.15" customHeight="1" x14ac:dyDescent="0.35">
      <c r="B54" s="4"/>
      <c r="C54" s="38" t="s">
        <v>178</v>
      </c>
      <c r="D54" s="38" t="s">
        <v>193</v>
      </c>
      <c r="E54" s="39" t="s">
        <v>810</v>
      </c>
      <c r="F54" s="40" t="s">
        <v>811</v>
      </c>
      <c r="G54" s="41" t="s">
        <v>120</v>
      </c>
      <c r="H54" s="42">
        <v>22.66</v>
      </c>
      <c r="I54" s="42">
        <v>22.66</v>
      </c>
      <c r="J54" s="43">
        <v>476.26</v>
      </c>
      <c r="K54" s="44">
        <f t="shared" si="10"/>
        <v>10792.05</v>
      </c>
      <c r="L54" s="90">
        <f t="shared" si="9"/>
        <v>10792.051600000001</v>
      </c>
      <c r="M54" s="90">
        <v>0</v>
      </c>
      <c r="N54" s="70">
        <v>19.260999999999999</v>
      </c>
      <c r="O54" s="71">
        <f t="shared" si="11"/>
        <v>9173.2438599999987</v>
      </c>
      <c r="P54" s="72"/>
      <c r="Q54" s="73">
        <f t="shared" si="12"/>
        <v>0</v>
      </c>
      <c r="R54" s="70">
        <f t="shared" si="13"/>
        <v>19.260999999999999</v>
      </c>
      <c r="S54" s="74">
        <f t="shared" si="14"/>
        <v>9173.2438599999987</v>
      </c>
      <c r="T54" s="75">
        <f t="shared" si="15"/>
        <v>0.85000012601868957</v>
      </c>
      <c r="U54" s="76">
        <f t="shared" si="16"/>
        <v>3.3990000000000009</v>
      </c>
      <c r="V54" s="77">
        <f t="shared" si="17"/>
        <v>1618.8077400000004</v>
      </c>
      <c r="W54" s="78">
        <f t="shared" si="18"/>
        <v>0.15000000000000005</v>
      </c>
    </row>
    <row r="55" spans="2:23" s="5" customFormat="1" ht="24.15" customHeight="1" x14ac:dyDescent="0.35">
      <c r="B55" s="4"/>
      <c r="C55" s="28" t="s">
        <v>181</v>
      </c>
      <c r="D55" s="28" t="s">
        <v>32</v>
      </c>
      <c r="E55" s="29" t="s">
        <v>812</v>
      </c>
      <c r="F55" s="30" t="s">
        <v>813</v>
      </c>
      <c r="G55" s="31" t="s">
        <v>120</v>
      </c>
      <c r="H55" s="32">
        <v>36</v>
      </c>
      <c r="I55" s="32">
        <v>36</v>
      </c>
      <c r="J55" s="33">
        <v>187.19</v>
      </c>
      <c r="K55" s="34">
        <f t="shared" si="10"/>
        <v>6738.84</v>
      </c>
      <c r="L55" s="90">
        <f t="shared" si="9"/>
        <v>6738.84</v>
      </c>
      <c r="M55" s="90">
        <v>34</v>
      </c>
      <c r="N55" s="70">
        <v>30.599999999999998</v>
      </c>
      <c r="O55" s="71">
        <f t="shared" si="11"/>
        <v>5728.0139999999992</v>
      </c>
      <c r="P55" s="72"/>
      <c r="Q55" s="73">
        <f t="shared" si="12"/>
        <v>0</v>
      </c>
      <c r="R55" s="70">
        <f t="shared" si="13"/>
        <v>30.599999999999998</v>
      </c>
      <c r="S55" s="74">
        <f t="shared" si="14"/>
        <v>5728.0139999999992</v>
      </c>
      <c r="T55" s="75">
        <f t="shared" si="15"/>
        <v>0.84999999999999987</v>
      </c>
      <c r="U55" s="76">
        <f t="shared" si="16"/>
        <v>5.4000000000000021</v>
      </c>
      <c r="V55" s="77">
        <f t="shared" si="17"/>
        <v>1010.8260000000004</v>
      </c>
      <c r="W55" s="78">
        <f t="shared" si="18"/>
        <v>0.15000000000000005</v>
      </c>
    </row>
    <row r="56" spans="2:23" s="5" customFormat="1" ht="24.15" customHeight="1" x14ac:dyDescent="0.35">
      <c r="B56" s="4"/>
      <c r="C56" s="38" t="s">
        <v>184</v>
      </c>
      <c r="D56" s="38" t="s">
        <v>193</v>
      </c>
      <c r="E56" s="39" t="s">
        <v>814</v>
      </c>
      <c r="F56" s="40" t="s">
        <v>815</v>
      </c>
      <c r="G56" s="41" t="s">
        <v>120</v>
      </c>
      <c r="H56" s="42">
        <v>37.08</v>
      </c>
      <c r="I56" s="42">
        <v>37.08</v>
      </c>
      <c r="J56" s="43">
        <v>855.24</v>
      </c>
      <c r="K56" s="44">
        <f t="shared" si="10"/>
        <v>31712.3</v>
      </c>
      <c r="L56" s="90">
        <f t="shared" si="9"/>
        <v>31712.299199999998</v>
      </c>
      <c r="M56" s="90">
        <v>37.399999999999991</v>
      </c>
      <c r="N56" s="70">
        <v>31.517999999999997</v>
      </c>
      <c r="O56" s="71">
        <f t="shared" si="11"/>
        <v>26955.454319999997</v>
      </c>
      <c r="P56" s="72"/>
      <c r="Q56" s="73">
        <f t="shared" si="12"/>
        <v>0</v>
      </c>
      <c r="R56" s="70">
        <f t="shared" si="13"/>
        <v>31.517999999999997</v>
      </c>
      <c r="S56" s="74">
        <f t="shared" si="14"/>
        <v>26955.454319999997</v>
      </c>
      <c r="T56" s="75">
        <f t="shared" si="15"/>
        <v>0.84999997855721587</v>
      </c>
      <c r="U56" s="76">
        <f t="shared" si="16"/>
        <v>5.5620000000000012</v>
      </c>
      <c r="V56" s="77">
        <f t="shared" si="17"/>
        <v>4756.8448800000015</v>
      </c>
      <c r="W56" s="78">
        <f t="shared" si="18"/>
        <v>0.15000000000000005</v>
      </c>
    </row>
    <row r="57" spans="2:23" s="23" customFormat="1" ht="26" customHeight="1" x14ac:dyDescent="0.35">
      <c r="B57" s="22"/>
      <c r="D57" s="24" t="s">
        <v>27</v>
      </c>
      <c r="E57" s="25" t="s">
        <v>452</v>
      </c>
      <c r="F57" s="25" t="s">
        <v>816</v>
      </c>
      <c r="J57" s="26"/>
      <c r="K57" s="27">
        <f>SUM(K58:K87)</f>
        <v>254448.38000000003</v>
      </c>
      <c r="L57" s="27">
        <f>SUM(L58:L87)</f>
        <v>254448.38000000003</v>
      </c>
      <c r="M57" s="27"/>
      <c r="O57" s="27">
        <f>SUM(O58:O87)</f>
        <v>207138.07000000004</v>
      </c>
      <c r="Q57" s="27">
        <f>SUM(Q58:Q87)</f>
        <v>47310.310000000005</v>
      </c>
      <c r="S57" s="27">
        <f>SUM(S58:S87)</f>
        <v>254448.38000000003</v>
      </c>
      <c r="V57" s="27">
        <f>SUM(V58:V87)</f>
        <v>0</v>
      </c>
    </row>
    <row r="58" spans="2:23" s="5" customFormat="1" ht="24.15" customHeight="1" x14ac:dyDescent="0.35">
      <c r="B58" s="4"/>
      <c r="C58" s="28" t="s">
        <v>187</v>
      </c>
      <c r="D58" s="28" t="s">
        <v>32</v>
      </c>
      <c r="E58" s="29" t="s">
        <v>817</v>
      </c>
      <c r="F58" s="30" t="s">
        <v>818</v>
      </c>
      <c r="G58" s="31" t="s">
        <v>272</v>
      </c>
      <c r="H58" s="32">
        <v>7</v>
      </c>
      <c r="I58" s="32">
        <v>7</v>
      </c>
      <c r="J58" s="33">
        <v>601.67999999999995</v>
      </c>
      <c r="K58" s="34">
        <f t="shared" ref="K58:K87" si="19">ROUND(J58*H58,2)</f>
        <v>4211.76</v>
      </c>
      <c r="L58" s="90">
        <f t="shared" si="9"/>
        <v>4211.7599999999993</v>
      </c>
      <c r="M58" s="90">
        <v>4</v>
      </c>
      <c r="N58" s="70">
        <v>7</v>
      </c>
      <c r="O58" s="71">
        <f t="shared" ref="O58:O87" si="20">N58*J58</f>
        <v>4211.7599999999993</v>
      </c>
      <c r="P58" s="72"/>
      <c r="Q58" s="73">
        <f t="shared" ref="Q58:Q87" si="21">P58*J58</f>
        <v>0</v>
      </c>
      <c r="R58" s="70">
        <f t="shared" ref="R58:R87" si="22">P58+N58</f>
        <v>7</v>
      </c>
      <c r="S58" s="74">
        <f t="shared" ref="S58:S87" si="23">R58*J58</f>
        <v>4211.7599999999993</v>
      </c>
      <c r="T58" s="75">
        <f t="shared" ref="T58:T87" si="24">S58/K58</f>
        <v>0.99999999999999978</v>
      </c>
      <c r="U58" s="76">
        <f t="shared" ref="U58:U87" si="25">H58-R58</f>
        <v>0</v>
      </c>
      <c r="V58" s="77">
        <f t="shared" ref="V58:V87" si="26">U58*J58</f>
        <v>0</v>
      </c>
      <c r="W58" s="78">
        <f t="shared" ref="W58:W87" si="27">U58/H58</f>
        <v>0</v>
      </c>
    </row>
    <row r="59" spans="2:23" s="5" customFormat="1" ht="16.5" customHeight="1" x14ac:dyDescent="0.35">
      <c r="B59" s="4"/>
      <c r="C59" s="38" t="s">
        <v>190</v>
      </c>
      <c r="D59" s="38" t="s">
        <v>193</v>
      </c>
      <c r="E59" s="39" t="s">
        <v>823</v>
      </c>
      <c r="F59" s="40" t="s">
        <v>824</v>
      </c>
      <c r="G59" s="41" t="s">
        <v>272</v>
      </c>
      <c r="H59" s="42">
        <v>7</v>
      </c>
      <c r="I59" s="42">
        <v>7</v>
      </c>
      <c r="J59" s="43">
        <v>991.15</v>
      </c>
      <c r="K59" s="44">
        <f t="shared" si="19"/>
        <v>6938.05</v>
      </c>
      <c r="L59" s="90">
        <f t="shared" si="9"/>
        <v>6938.05</v>
      </c>
      <c r="M59" s="90">
        <v>4</v>
      </c>
      <c r="N59" s="70">
        <v>7</v>
      </c>
      <c r="O59" s="71">
        <f t="shared" si="20"/>
        <v>6938.05</v>
      </c>
      <c r="P59" s="72"/>
      <c r="Q59" s="73">
        <f t="shared" si="21"/>
        <v>0</v>
      </c>
      <c r="R59" s="70">
        <f t="shared" si="22"/>
        <v>7</v>
      </c>
      <c r="S59" s="74">
        <f t="shared" si="23"/>
        <v>6938.05</v>
      </c>
      <c r="T59" s="75">
        <f t="shared" si="24"/>
        <v>1</v>
      </c>
      <c r="U59" s="76">
        <f t="shared" si="25"/>
        <v>0</v>
      </c>
      <c r="V59" s="77">
        <f t="shared" si="26"/>
        <v>0</v>
      </c>
      <c r="W59" s="78">
        <f t="shared" si="27"/>
        <v>0</v>
      </c>
    </row>
    <row r="60" spans="2:23" s="5" customFormat="1" ht="21.75" customHeight="1" x14ac:dyDescent="0.35">
      <c r="B60" s="4"/>
      <c r="C60" s="28" t="s">
        <v>195</v>
      </c>
      <c r="D60" s="28" t="s">
        <v>32</v>
      </c>
      <c r="E60" s="29" t="s">
        <v>874</v>
      </c>
      <c r="F60" s="30" t="s">
        <v>875</v>
      </c>
      <c r="G60" s="31" t="s">
        <v>272</v>
      </c>
      <c r="H60" s="32">
        <v>1</v>
      </c>
      <c r="I60" s="32">
        <v>1</v>
      </c>
      <c r="J60" s="33">
        <v>601.67999999999995</v>
      </c>
      <c r="K60" s="34">
        <f t="shared" si="19"/>
        <v>601.67999999999995</v>
      </c>
      <c r="L60" s="90">
        <f t="shared" si="9"/>
        <v>601.67999999999995</v>
      </c>
      <c r="M60" s="90">
        <v>0</v>
      </c>
      <c r="N60" s="70">
        <v>1</v>
      </c>
      <c r="O60" s="71">
        <f t="shared" si="20"/>
        <v>601.67999999999995</v>
      </c>
      <c r="P60" s="72"/>
      <c r="Q60" s="73">
        <f t="shared" si="21"/>
        <v>0</v>
      </c>
      <c r="R60" s="70">
        <f t="shared" si="22"/>
        <v>1</v>
      </c>
      <c r="S60" s="74">
        <f t="shared" si="23"/>
        <v>601.67999999999995</v>
      </c>
      <c r="T60" s="75">
        <f t="shared" si="24"/>
        <v>1</v>
      </c>
      <c r="U60" s="76">
        <f t="shared" si="25"/>
        <v>0</v>
      </c>
      <c r="V60" s="77">
        <f t="shared" si="26"/>
        <v>0</v>
      </c>
      <c r="W60" s="78">
        <f t="shared" si="27"/>
        <v>0</v>
      </c>
    </row>
    <row r="61" spans="2:23" s="5" customFormat="1" ht="16.5" customHeight="1" x14ac:dyDescent="0.35">
      <c r="B61" s="4"/>
      <c r="C61" s="38" t="s">
        <v>198</v>
      </c>
      <c r="D61" s="38" t="s">
        <v>193</v>
      </c>
      <c r="E61" s="39" t="s">
        <v>825</v>
      </c>
      <c r="F61" s="40" t="s">
        <v>876</v>
      </c>
      <c r="G61" s="41" t="s">
        <v>272</v>
      </c>
      <c r="H61" s="42">
        <v>1</v>
      </c>
      <c r="I61" s="42">
        <v>1</v>
      </c>
      <c r="J61" s="43">
        <v>32.89</v>
      </c>
      <c r="K61" s="44">
        <f t="shared" si="19"/>
        <v>32.89</v>
      </c>
      <c r="L61" s="90">
        <f t="shared" si="9"/>
        <v>32.89</v>
      </c>
      <c r="M61" s="90">
        <v>0</v>
      </c>
      <c r="N61" s="70">
        <v>1</v>
      </c>
      <c r="O61" s="71">
        <f t="shared" si="20"/>
        <v>32.89</v>
      </c>
      <c r="P61" s="72"/>
      <c r="Q61" s="73">
        <f t="shared" si="21"/>
        <v>0</v>
      </c>
      <c r="R61" s="70">
        <f t="shared" si="22"/>
        <v>1</v>
      </c>
      <c r="S61" s="74">
        <f t="shared" si="23"/>
        <v>32.89</v>
      </c>
      <c r="T61" s="75">
        <f t="shared" si="24"/>
        <v>1</v>
      </c>
      <c r="U61" s="76">
        <f t="shared" si="25"/>
        <v>0</v>
      </c>
      <c r="V61" s="77">
        <f t="shared" si="26"/>
        <v>0</v>
      </c>
      <c r="W61" s="78">
        <f t="shared" si="27"/>
        <v>0</v>
      </c>
    </row>
    <row r="62" spans="2:23" s="5" customFormat="1" ht="16.5" customHeight="1" x14ac:dyDescent="0.35">
      <c r="B62" s="4"/>
      <c r="C62" s="28" t="s">
        <v>351</v>
      </c>
      <c r="D62" s="28" t="s">
        <v>32</v>
      </c>
      <c r="E62" s="29" t="s">
        <v>877</v>
      </c>
      <c r="F62" s="30" t="s">
        <v>878</v>
      </c>
      <c r="G62" s="31" t="s">
        <v>272</v>
      </c>
      <c r="H62" s="32">
        <v>1</v>
      </c>
      <c r="I62" s="32">
        <v>1</v>
      </c>
      <c r="J62" s="33">
        <v>869.09</v>
      </c>
      <c r="K62" s="34">
        <f t="shared" si="19"/>
        <v>869.09</v>
      </c>
      <c r="L62" s="90">
        <f t="shared" si="9"/>
        <v>869.09</v>
      </c>
      <c r="M62" s="90">
        <v>2</v>
      </c>
      <c r="N62" s="70">
        <v>1</v>
      </c>
      <c r="O62" s="71">
        <f t="shared" si="20"/>
        <v>869.09</v>
      </c>
      <c r="P62" s="72"/>
      <c r="Q62" s="73">
        <f t="shared" si="21"/>
        <v>0</v>
      </c>
      <c r="R62" s="70">
        <f t="shared" si="22"/>
        <v>1</v>
      </c>
      <c r="S62" s="74">
        <f t="shared" si="23"/>
        <v>869.09</v>
      </c>
      <c r="T62" s="75">
        <f t="shared" si="24"/>
        <v>1</v>
      </c>
      <c r="U62" s="76">
        <f t="shared" si="25"/>
        <v>0</v>
      </c>
      <c r="V62" s="77">
        <f t="shared" si="26"/>
        <v>0</v>
      </c>
      <c r="W62" s="78">
        <f t="shared" si="27"/>
        <v>0</v>
      </c>
    </row>
    <row r="63" spans="2:23" s="5" customFormat="1" ht="16.5" customHeight="1" x14ac:dyDescent="0.35">
      <c r="B63" s="4"/>
      <c r="C63" s="38" t="s">
        <v>354</v>
      </c>
      <c r="D63" s="38" t="s">
        <v>193</v>
      </c>
      <c r="E63" s="39" t="s">
        <v>819</v>
      </c>
      <c r="F63" s="40" t="s">
        <v>820</v>
      </c>
      <c r="G63" s="41" t="s">
        <v>272</v>
      </c>
      <c r="H63" s="42">
        <v>1</v>
      </c>
      <c r="I63" s="42">
        <v>1</v>
      </c>
      <c r="J63" s="43">
        <v>3342.65</v>
      </c>
      <c r="K63" s="44">
        <f t="shared" si="19"/>
        <v>3342.65</v>
      </c>
      <c r="L63" s="90">
        <f t="shared" si="9"/>
        <v>3342.65</v>
      </c>
      <c r="M63" s="90">
        <v>2</v>
      </c>
      <c r="N63" s="70">
        <v>1</v>
      </c>
      <c r="O63" s="71">
        <f t="shared" si="20"/>
        <v>3342.65</v>
      </c>
      <c r="P63" s="72"/>
      <c r="Q63" s="73">
        <f t="shared" si="21"/>
        <v>0</v>
      </c>
      <c r="R63" s="70">
        <f t="shared" si="22"/>
        <v>1</v>
      </c>
      <c r="S63" s="74">
        <f t="shared" si="23"/>
        <v>3342.65</v>
      </c>
      <c r="T63" s="75">
        <f t="shared" si="24"/>
        <v>1</v>
      </c>
      <c r="U63" s="76">
        <f t="shared" si="25"/>
        <v>0</v>
      </c>
      <c r="V63" s="77">
        <f t="shared" si="26"/>
        <v>0</v>
      </c>
      <c r="W63" s="78">
        <f t="shared" si="27"/>
        <v>0</v>
      </c>
    </row>
    <row r="64" spans="2:23" s="5" customFormat="1" ht="24.15" customHeight="1" x14ac:dyDescent="0.35">
      <c r="B64" s="4"/>
      <c r="C64" s="28" t="s">
        <v>359</v>
      </c>
      <c r="D64" s="28" t="s">
        <v>32</v>
      </c>
      <c r="E64" s="29" t="s">
        <v>879</v>
      </c>
      <c r="F64" s="30" t="s">
        <v>880</v>
      </c>
      <c r="G64" s="31" t="s">
        <v>272</v>
      </c>
      <c r="H64" s="32">
        <v>3</v>
      </c>
      <c r="I64" s="32">
        <v>3</v>
      </c>
      <c r="J64" s="33">
        <v>869.09</v>
      </c>
      <c r="K64" s="34">
        <f t="shared" si="19"/>
        <v>2607.27</v>
      </c>
      <c r="L64" s="90">
        <f t="shared" si="9"/>
        <v>2607.27</v>
      </c>
      <c r="M64" s="90">
        <f t="shared" ref="M64:M87" si="28">I64-H64</f>
        <v>0</v>
      </c>
      <c r="N64" s="70">
        <v>3</v>
      </c>
      <c r="O64" s="71">
        <f t="shared" si="20"/>
        <v>2607.27</v>
      </c>
      <c r="P64" s="72"/>
      <c r="Q64" s="73">
        <f t="shared" si="21"/>
        <v>0</v>
      </c>
      <c r="R64" s="70">
        <f t="shared" si="22"/>
        <v>3</v>
      </c>
      <c r="S64" s="74">
        <f t="shared" si="23"/>
        <v>2607.27</v>
      </c>
      <c r="T64" s="75">
        <f t="shared" si="24"/>
        <v>1</v>
      </c>
      <c r="U64" s="76">
        <f t="shared" si="25"/>
        <v>0</v>
      </c>
      <c r="V64" s="77">
        <f t="shared" si="26"/>
        <v>0</v>
      </c>
      <c r="W64" s="78">
        <f t="shared" si="27"/>
        <v>0</v>
      </c>
    </row>
    <row r="65" spans="2:23" s="5" customFormat="1" ht="24.15" customHeight="1" x14ac:dyDescent="0.35">
      <c r="B65" s="4"/>
      <c r="C65" s="38" t="s">
        <v>362</v>
      </c>
      <c r="D65" s="38" t="s">
        <v>193</v>
      </c>
      <c r="E65" s="39" t="s">
        <v>881</v>
      </c>
      <c r="F65" s="40" t="s">
        <v>882</v>
      </c>
      <c r="G65" s="41" t="s">
        <v>272</v>
      </c>
      <c r="H65" s="42">
        <v>3</v>
      </c>
      <c r="I65" s="42">
        <v>3</v>
      </c>
      <c r="J65" s="43">
        <v>1276.8900000000001</v>
      </c>
      <c r="K65" s="44">
        <f t="shared" si="19"/>
        <v>3830.67</v>
      </c>
      <c r="L65" s="90">
        <f t="shared" si="9"/>
        <v>3830.67</v>
      </c>
      <c r="M65" s="90">
        <f t="shared" si="28"/>
        <v>0</v>
      </c>
      <c r="N65" s="70">
        <v>3</v>
      </c>
      <c r="O65" s="71">
        <f t="shared" si="20"/>
        <v>3830.67</v>
      </c>
      <c r="P65" s="72"/>
      <c r="Q65" s="73">
        <f t="shared" si="21"/>
        <v>0</v>
      </c>
      <c r="R65" s="70">
        <f t="shared" si="22"/>
        <v>3</v>
      </c>
      <c r="S65" s="74">
        <f t="shared" si="23"/>
        <v>3830.67</v>
      </c>
      <c r="T65" s="75">
        <f t="shared" si="24"/>
        <v>1</v>
      </c>
      <c r="U65" s="76">
        <f t="shared" si="25"/>
        <v>0</v>
      </c>
      <c r="V65" s="77">
        <f t="shared" si="26"/>
        <v>0</v>
      </c>
      <c r="W65" s="78">
        <f t="shared" si="27"/>
        <v>0</v>
      </c>
    </row>
    <row r="66" spans="2:23" s="5" customFormat="1" ht="24.15" customHeight="1" x14ac:dyDescent="0.35">
      <c r="B66" s="4"/>
      <c r="C66" s="28" t="s">
        <v>367</v>
      </c>
      <c r="D66" s="28" t="s">
        <v>32</v>
      </c>
      <c r="E66" s="29" t="s">
        <v>827</v>
      </c>
      <c r="F66" s="30" t="s">
        <v>828</v>
      </c>
      <c r="G66" s="31" t="s">
        <v>272</v>
      </c>
      <c r="H66" s="32">
        <v>1</v>
      </c>
      <c r="I66" s="32">
        <v>1</v>
      </c>
      <c r="J66" s="33">
        <v>869.09</v>
      </c>
      <c r="K66" s="34">
        <f t="shared" si="19"/>
        <v>869.09</v>
      </c>
      <c r="L66" s="90">
        <f t="shared" si="9"/>
        <v>869.09</v>
      </c>
      <c r="M66" s="90">
        <f t="shared" si="28"/>
        <v>0</v>
      </c>
      <c r="N66" s="70">
        <v>1</v>
      </c>
      <c r="O66" s="71">
        <f t="shared" si="20"/>
        <v>869.09</v>
      </c>
      <c r="P66" s="72"/>
      <c r="Q66" s="73">
        <f t="shared" si="21"/>
        <v>0</v>
      </c>
      <c r="R66" s="70">
        <f t="shared" si="22"/>
        <v>1</v>
      </c>
      <c r="S66" s="74">
        <f t="shared" si="23"/>
        <v>869.09</v>
      </c>
      <c r="T66" s="75">
        <f t="shared" si="24"/>
        <v>1</v>
      </c>
      <c r="U66" s="76">
        <f t="shared" si="25"/>
        <v>0</v>
      </c>
      <c r="V66" s="77">
        <f t="shared" si="26"/>
        <v>0</v>
      </c>
      <c r="W66" s="78">
        <f t="shared" si="27"/>
        <v>0</v>
      </c>
    </row>
    <row r="67" spans="2:23" s="5" customFormat="1" ht="16.5" customHeight="1" x14ac:dyDescent="0.35">
      <c r="B67" s="4"/>
      <c r="C67" s="38" t="s">
        <v>368</v>
      </c>
      <c r="D67" s="38" t="s">
        <v>193</v>
      </c>
      <c r="E67" s="39" t="s">
        <v>829</v>
      </c>
      <c r="F67" s="40" t="s">
        <v>830</v>
      </c>
      <c r="G67" s="41" t="s">
        <v>272</v>
      </c>
      <c r="H67" s="42">
        <v>1</v>
      </c>
      <c r="I67" s="42">
        <v>1</v>
      </c>
      <c r="J67" s="43">
        <v>1189.98</v>
      </c>
      <c r="K67" s="44">
        <f t="shared" si="19"/>
        <v>1189.98</v>
      </c>
      <c r="L67" s="90">
        <f t="shared" si="9"/>
        <v>1189.98</v>
      </c>
      <c r="M67" s="90">
        <f t="shared" si="28"/>
        <v>0</v>
      </c>
      <c r="N67" s="70">
        <v>1</v>
      </c>
      <c r="O67" s="71">
        <f t="shared" si="20"/>
        <v>1189.98</v>
      </c>
      <c r="P67" s="72"/>
      <c r="Q67" s="73">
        <f t="shared" si="21"/>
        <v>0</v>
      </c>
      <c r="R67" s="70">
        <f t="shared" si="22"/>
        <v>1</v>
      </c>
      <c r="S67" s="74">
        <f t="shared" si="23"/>
        <v>1189.98</v>
      </c>
      <c r="T67" s="75">
        <f t="shared" si="24"/>
        <v>1</v>
      </c>
      <c r="U67" s="76">
        <f t="shared" si="25"/>
        <v>0</v>
      </c>
      <c r="V67" s="77">
        <f t="shared" si="26"/>
        <v>0</v>
      </c>
      <c r="W67" s="78">
        <f t="shared" si="27"/>
        <v>0</v>
      </c>
    </row>
    <row r="68" spans="2:23" s="5" customFormat="1" ht="24.15" customHeight="1" x14ac:dyDescent="0.35">
      <c r="B68" s="4"/>
      <c r="C68" s="28" t="s">
        <v>371</v>
      </c>
      <c r="D68" s="28" t="s">
        <v>32</v>
      </c>
      <c r="E68" s="29" t="s">
        <v>883</v>
      </c>
      <c r="F68" s="30" t="s">
        <v>884</v>
      </c>
      <c r="G68" s="31" t="s">
        <v>272</v>
      </c>
      <c r="H68" s="32">
        <v>1</v>
      </c>
      <c r="I68" s="32">
        <v>1</v>
      </c>
      <c r="J68" s="33">
        <v>869.09</v>
      </c>
      <c r="K68" s="34">
        <f t="shared" si="19"/>
        <v>869.09</v>
      </c>
      <c r="L68" s="90">
        <f t="shared" si="9"/>
        <v>869.09</v>
      </c>
      <c r="M68" s="90">
        <f t="shared" si="28"/>
        <v>0</v>
      </c>
      <c r="N68" s="70">
        <v>1</v>
      </c>
      <c r="O68" s="71">
        <f t="shared" si="20"/>
        <v>869.09</v>
      </c>
      <c r="P68" s="72"/>
      <c r="Q68" s="73">
        <f t="shared" si="21"/>
        <v>0</v>
      </c>
      <c r="R68" s="70">
        <f t="shared" si="22"/>
        <v>1</v>
      </c>
      <c r="S68" s="74">
        <f t="shared" si="23"/>
        <v>869.09</v>
      </c>
      <c r="T68" s="75">
        <f t="shared" si="24"/>
        <v>1</v>
      </c>
      <c r="U68" s="76">
        <f t="shared" si="25"/>
        <v>0</v>
      </c>
      <c r="V68" s="77">
        <f t="shared" si="26"/>
        <v>0</v>
      </c>
      <c r="W68" s="78">
        <f t="shared" si="27"/>
        <v>0</v>
      </c>
    </row>
    <row r="69" spans="2:23" s="5" customFormat="1" ht="24.15" customHeight="1" x14ac:dyDescent="0.35">
      <c r="B69" s="4"/>
      <c r="C69" s="38" t="s">
        <v>374</v>
      </c>
      <c r="D69" s="38" t="s">
        <v>193</v>
      </c>
      <c r="E69" s="39" t="s">
        <v>885</v>
      </c>
      <c r="F69" s="40" t="s">
        <v>886</v>
      </c>
      <c r="G69" s="41" t="s">
        <v>272</v>
      </c>
      <c r="H69" s="42">
        <v>1</v>
      </c>
      <c r="I69" s="42">
        <v>1</v>
      </c>
      <c r="J69" s="43">
        <v>1276.8900000000001</v>
      </c>
      <c r="K69" s="44">
        <f t="shared" si="19"/>
        <v>1276.8900000000001</v>
      </c>
      <c r="L69" s="90">
        <f t="shared" si="9"/>
        <v>1276.8900000000001</v>
      </c>
      <c r="M69" s="90">
        <f t="shared" si="28"/>
        <v>0</v>
      </c>
      <c r="N69" s="70">
        <v>1</v>
      </c>
      <c r="O69" s="71">
        <f t="shared" si="20"/>
        <v>1276.8900000000001</v>
      </c>
      <c r="P69" s="72"/>
      <c r="Q69" s="73">
        <f t="shared" si="21"/>
        <v>0</v>
      </c>
      <c r="R69" s="70">
        <f t="shared" si="22"/>
        <v>1</v>
      </c>
      <c r="S69" s="74">
        <f t="shared" si="23"/>
        <v>1276.8900000000001</v>
      </c>
      <c r="T69" s="75">
        <f t="shared" si="24"/>
        <v>1</v>
      </c>
      <c r="U69" s="76">
        <f t="shared" si="25"/>
        <v>0</v>
      </c>
      <c r="V69" s="77">
        <f t="shared" si="26"/>
        <v>0</v>
      </c>
      <c r="W69" s="78">
        <f t="shared" si="27"/>
        <v>0</v>
      </c>
    </row>
    <row r="70" spans="2:23" s="5" customFormat="1" ht="24.15" customHeight="1" x14ac:dyDescent="0.35">
      <c r="B70" s="4"/>
      <c r="C70" s="28" t="s">
        <v>375</v>
      </c>
      <c r="D70" s="28" t="s">
        <v>32</v>
      </c>
      <c r="E70" s="29" t="s">
        <v>887</v>
      </c>
      <c r="F70" s="30" t="s">
        <v>888</v>
      </c>
      <c r="G70" s="31" t="s">
        <v>272</v>
      </c>
      <c r="H70" s="32">
        <v>2</v>
      </c>
      <c r="I70" s="32">
        <v>2</v>
      </c>
      <c r="J70" s="33">
        <v>3342.65</v>
      </c>
      <c r="K70" s="34">
        <f t="shared" si="19"/>
        <v>6685.3</v>
      </c>
      <c r="L70" s="90">
        <f t="shared" si="9"/>
        <v>6685.3</v>
      </c>
      <c r="M70" s="90">
        <f t="shared" si="28"/>
        <v>0</v>
      </c>
      <c r="N70" s="70">
        <v>0</v>
      </c>
      <c r="O70" s="71">
        <f t="shared" si="20"/>
        <v>0</v>
      </c>
      <c r="P70" s="72">
        <v>2</v>
      </c>
      <c r="Q70" s="73">
        <f t="shared" si="21"/>
        <v>6685.3</v>
      </c>
      <c r="R70" s="70">
        <f t="shared" si="22"/>
        <v>2</v>
      </c>
      <c r="S70" s="74">
        <f t="shared" si="23"/>
        <v>6685.3</v>
      </c>
      <c r="T70" s="75">
        <f t="shared" si="24"/>
        <v>1</v>
      </c>
      <c r="U70" s="76">
        <f t="shared" si="25"/>
        <v>0</v>
      </c>
      <c r="V70" s="77">
        <f t="shared" si="26"/>
        <v>0</v>
      </c>
      <c r="W70" s="78">
        <f t="shared" si="27"/>
        <v>0</v>
      </c>
    </row>
    <row r="71" spans="2:23" s="5" customFormat="1" ht="24.15" customHeight="1" x14ac:dyDescent="0.35">
      <c r="B71" s="4"/>
      <c r="C71" s="38" t="s">
        <v>378</v>
      </c>
      <c r="D71" s="38" t="s">
        <v>193</v>
      </c>
      <c r="E71" s="39" t="s">
        <v>889</v>
      </c>
      <c r="F71" s="40" t="s">
        <v>890</v>
      </c>
      <c r="G71" s="41" t="s">
        <v>272</v>
      </c>
      <c r="H71" s="42">
        <v>2</v>
      </c>
      <c r="I71" s="42">
        <v>2</v>
      </c>
      <c r="J71" s="43">
        <v>5401.72</v>
      </c>
      <c r="K71" s="44">
        <f t="shared" si="19"/>
        <v>10803.44</v>
      </c>
      <c r="L71" s="90">
        <f t="shared" si="9"/>
        <v>10803.44</v>
      </c>
      <c r="M71" s="90">
        <f t="shared" si="28"/>
        <v>0</v>
      </c>
      <c r="N71" s="70">
        <v>0</v>
      </c>
      <c r="O71" s="71">
        <f t="shared" si="20"/>
        <v>0</v>
      </c>
      <c r="P71" s="72">
        <v>2</v>
      </c>
      <c r="Q71" s="73">
        <f t="shared" si="21"/>
        <v>10803.44</v>
      </c>
      <c r="R71" s="70">
        <f t="shared" si="22"/>
        <v>2</v>
      </c>
      <c r="S71" s="74">
        <f t="shared" si="23"/>
        <v>10803.44</v>
      </c>
      <c r="T71" s="75">
        <f t="shared" si="24"/>
        <v>1</v>
      </c>
      <c r="U71" s="76">
        <f t="shared" si="25"/>
        <v>0</v>
      </c>
      <c r="V71" s="77">
        <f t="shared" si="26"/>
        <v>0</v>
      </c>
      <c r="W71" s="78">
        <f t="shared" si="27"/>
        <v>0</v>
      </c>
    </row>
    <row r="72" spans="2:23" s="5" customFormat="1" ht="24.15" customHeight="1" x14ac:dyDescent="0.35">
      <c r="B72" s="4"/>
      <c r="C72" s="28" t="s">
        <v>381</v>
      </c>
      <c r="D72" s="28" t="s">
        <v>32</v>
      </c>
      <c r="E72" s="29" t="s">
        <v>831</v>
      </c>
      <c r="F72" s="30" t="s">
        <v>832</v>
      </c>
      <c r="G72" s="31" t="s">
        <v>272</v>
      </c>
      <c r="H72" s="32">
        <v>1</v>
      </c>
      <c r="I72" s="32">
        <v>1</v>
      </c>
      <c r="J72" s="33">
        <v>668.53</v>
      </c>
      <c r="K72" s="34">
        <f t="shared" si="19"/>
        <v>668.53</v>
      </c>
      <c r="L72" s="90">
        <f t="shared" si="9"/>
        <v>668.53</v>
      </c>
      <c r="M72" s="90">
        <f t="shared" si="28"/>
        <v>0</v>
      </c>
      <c r="N72" s="70">
        <v>0</v>
      </c>
      <c r="O72" s="71">
        <f t="shared" si="20"/>
        <v>0</v>
      </c>
      <c r="P72" s="72">
        <v>1</v>
      </c>
      <c r="Q72" s="73">
        <f t="shared" si="21"/>
        <v>668.53</v>
      </c>
      <c r="R72" s="70">
        <f t="shared" si="22"/>
        <v>1</v>
      </c>
      <c r="S72" s="74">
        <f t="shared" si="23"/>
        <v>668.53</v>
      </c>
      <c r="T72" s="75">
        <f t="shared" si="24"/>
        <v>1</v>
      </c>
      <c r="U72" s="76">
        <f t="shared" si="25"/>
        <v>0</v>
      </c>
      <c r="V72" s="77">
        <f t="shared" si="26"/>
        <v>0</v>
      </c>
      <c r="W72" s="78">
        <f t="shared" si="27"/>
        <v>0</v>
      </c>
    </row>
    <row r="73" spans="2:23" s="5" customFormat="1" ht="24.15" customHeight="1" x14ac:dyDescent="0.35">
      <c r="B73" s="4"/>
      <c r="C73" s="38" t="s">
        <v>269</v>
      </c>
      <c r="D73" s="38" t="s">
        <v>193</v>
      </c>
      <c r="E73" s="39" t="s">
        <v>833</v>
      </c>
      <c r="F73" s="40" t="s">
        <v>834</v>
      </c>
      <c r="G73" s="41" t="s">
        <v>272</v>
      </c>
      <c r="H73" s="42">
        <v>1</v>
      </c>
      <c r="I73" s="42">
        <v>1</v>
      </c>
      <c r="J73" s="43">
        <v>3354.68</v>
      </c>
      <c r="K73" s="44">
        <f t="shared" si="19"/>
        <v>3354.68</v>
      </c>
      <c r="L73" s="90">
        <f t="shared" si="9"/>
        <v>3354.68</v>
      </c>
      <c r="M73" s="90">
        <f t="shared" si="28"/>
        <v>0</v>
      </c>
      <c r="N73" s="70">
        <v>0</v>
      </c>
      <c r="O73" s="71">
        <f t="shared" si="20"/>
        <v>0</v>
      </c>
      <c r="P73" s="72">
        <v>1</v>
      </c>
      <c r="Q73" s="73">
        <f t="shared" si="21"/>
        <v>3354.68</v>
      </c>
      <c r="R73" s="70">
        <f t="shared" si="22"/>
        <v>1</v>
      </c>
      <c r="S73" s="74">
        <f t="shared" si="23"/>
        <v>3354.68</v>
      </c>
      <c r="T73" s="75">
        <f t="shared" si="24"/>
        <v>1</v>
      </c>
      <c r="U73" s="76">
        <f t="shared" si="25"/>
        <v>0</v>
      </c>
      <c r="V73" s="77">
        <f t="shared" si="26"/>
        <v>0</v>
      </c>
      <c r="W73" s="78">
        <f t="shared" si="27"/>
        <v>0</v>
      </c>
    </row>
    <row r="74" spans="2:23" s="5" customFormat="1" ht="16.5" customHeight="1" x14ac:dyDescent="0.35">
      <c r="B74" s="4"/>
      <c r="C74" s="28" t="s">
        <v>382</v>
      </c>
      <c r="D74" s="28" t="s">
        <v>32</v>
      </c>
      <c r="E74" s="29" t="s">
        <v>891</v>
      </c>
      <c r="F74" s="30" t="s">
        <v>892</v>
      </c>
      <c r="G74" s="31" t="s">
        <v>73</v>
      </c>
      <c r="H74" s="32">
        <v>2</v>
      </c>
      <c r="I74" s="32">
        <v>2</v>
      </c>
      <c r="J74" s="33">
        <v>668.53</v>
      </c>
      <c r="K74" s="34">
        <f t="shared" si="19"/>
        <v>1337.06</v>
      </c>
      <c r="L74" s="90">
        <f t="shared" si="9"/>
        <v>1337.06</v>
      </c>
      <c r="M74" s="90">
        <f t="shared" si="28"/>
        <v>0</v>
      </c>
      <c r="N74" s="70">
        <v>0</v>
      </c>
      <c r="O74" s="71">
        <f t="shared" si="20"/>
        <v>0</v>
      </c>
      <c r="P74" s="72">
        <v>2</v>
      </c>
      <c r="Q74" s="73">
        <f t="shared" si="21"/>
        <v>1337.06</v>
      </c>
      <c r="R74" s="70">
        <f t="shared" si="22"/>
        <v>2</v>
      </c>
      <c r="S74" s="74">
        <f t="shared" si="23"/>
        <v>1337.06</v>
      </c>
      <c r="T74" s="75">
        <f t="shared" si="24"/>
        <v>1</v>
      </c>
      <c r="U74" s="76">
        <f t="shared" si="25"/>
        <v>0</v>
      </c>
      <c r="V74" s="77">
        <f t="shared" si="26"/>
        <v>0</v>
      </c>
      <c r="W74" s="78">
        <f t="shared" si="27"/>
        <v>0</v>
      </c>
    </row>
    <row r="75" spans="2:23" s="5" customFormat="1" ht="16.5" customHeight="1" x14ac:dyDescent="0.35">
      <c r="B75" s="4"/>
      <c r="C75" s="38" t="s">
        <v>383</v>
      </c>
      <c r="D75" s="38" t="s">
        <v>193</v>
      </c>
      <c r="E75" s="39" t="s">
        <v>893</v>
      </c>
      <c r="F75" s="40" t="s">
        <v>894</v>
      </c>
      <c r="G75" s="41" t="s">
        <v>73</v>
      </c>
      <c r="H75" s="42">
        <v>2</v>
      </c>
      <c r="I75" s="42">
        <v>2</v>
      </c>
      <c r="J75" s="43">
        <v>1203.3499999999999</v>
      </c>
      <c r="K75" s="44">
        <f t="shared" si="19"/>
        <v>2406.6999999999998</v>
      </c>
      <c r="L75" s="90">
        <f t="shared" si="9"/>
        <v>2406.6999999999998</v>
      </c>
      <c r="M75" s="90">
        <f t="shared" si="28"/>
        <v>0</v>
      </c>
      <c r="N75" s="70">
        <v>0</v>
      </c>
      <c r="O75" s="71">
        <f t="shared" si="20"/>
        <v>0</v>
      </c>
      <c r="P75" s="72">
        <v>2</v>
      </c>
      <c r="Q75" s="73">
        <f t="shared" si="21"/>
        <v>2406.6999999999998</v>
      </c>
      <c r="R75" s="70">
        <f t="shared" si="22"/>
        <v>2</v>
      </c>
      <c r="S75" s="74">
        <f t="shared" si="23"/>
        <v>2406.6999999999998</v>
      </c>
      <c r="T75" s="75">
        <f t="shared" si="24"/>
        <v>1</v>
      </c>
      <c r="U75" s="76">
        <f t="shared" si="25"/>
        <v>0</v>
      </c>
      <c r="V75" s="77">
        <f t="shared" si="26"/>
        <v>0</v>
      </c>
      <c r="W75" s="78">
        <f t="shared" si="27"/>
        <v>0</v>
      </c>
    </row>
    <row r="76" spans="2:23" s="5" customFormat="1" ht="16.5" customHeight="1" x14ac:dyDescent="0.35">
      <c r="B76" s="4"/>
      <c r="C76" s="28" t="s">
        <v>384</v>
      </c>
      <c r="D76" s="28" t="s">
        <v>32</v>
      </c>
      <c r="E76" s="29" t="s">
        <v>835</v>
      </c>
      <c r="F76" s="30" t="s">
        <v>836</v>
      </c>
      <c r="G76" s="31" t="s">
        <v>120</v>
      </c>
      <c r="H76" s="32">
        <v>43</v>
      </c>
      <c r="I76" s="32">
        <v>43</v>
      </c>
      <c r="J76" s="33">
        <v>53.48</v>
      </c>
      <c r="K76" s="34">
        <f t="shared" si="19"/>
        <v>2299.64</v>
      </c>
      <c r="L76" s="90">
        <f t="shared" si="9"/>
        <v>2299.64</v>
      </c>
      <c r="M76" s="90">
        <f t="shared" si="28"/>
        <v>0</v>
      </c>
      <c r="N76" s="70">
        <v>0</v>
      </c>
      <c r="O76" s="71">
        <f t="shared" si="20"/>
        <v>0</v>
      </c>
      <c r="P76" s="72">
        <v>43</v>
      </c>
      <c r="Q76" s="73">
        <f t="shared" si="21"/>
        <v>2299.64</v>
      </c>
      <c r="R76" s="70">
        <f t="shared" si="22"/>
        <v>43</v>
      </c>
      <c r="S76" s="74">
        <f t="shared" si="23"/>
        <v>2299.64</v>
      </c>
      <c r="T76" s="75">
        <f t="shared" si="24"/>
        <v>1</v>
      </c>
      <c r="U76" s="76">
        <f t="shared" si="25"/>
        <v>0</v>
      </c>
      <c r="V76" s="77">
        <f t="shared" si="26"/>
        <v>0</v>
      </c>
      <c r="W76" s="78">
        <f t="shared" si="27"/>
        <v>0</v>
      </c>
    </row>
    <row r="77" spans="2:23" s="5" customFormat="1" ht="21.75" customHeight="1" x14ac:dyDescent="0.35">
      <c r="B77" s="4"/>
      <c r="C77" s="28" t="s">
        <v>385</v>
      </c>
      <c r="D77" s="28" t="s">
        <v>32</v>
      </c>
      <c r="E77" s="29" t="s">
        <v>837</v>
      </c>
      <c r="F77" s="30" t="s">
        <v>838</v>
      </c>
      <c r="G77" s="31" t="s">
        <v>120</v>
      </c>
      <c r="H77" s="32">
        <v>43</v>
      </c>
      <c r="I77" s="32">
        <v>43</v>
      </c>
      <c r="J77" s="33">
        <v>160.44999999999999</v>
      </c>
      <c r="K77" s="34">
        <f t="shared" si="19"/>
        <v>6899.35</v>
      </c>
      <c r="L77" s="90">
        <f t="shared" si="9"/>
        <v>6899.3499999999995</v>
      </c>
      <c r="M77" s="90">
        <f t="shared" si="28"/>
        <v>0</v>
      </c>
      <c r="N77" s="70">
        <v>0</v>
      </c>
      <c r="O77" s="71">
        <f t="shared" si="20"/>
        <v>0</v>
      </c>
      <c r="P77" s="72">
        <v>43</v>
      </c>
      <c r="Q77" s="73">
        <f t="shared" si="21"/>
        <v>6899.3499999999995</v>
      </c>
      <c r="R77" s="70">
        <f t="shared" si="22"/>
        <v>43</v>
      </c>
      <c r="S77" s="74">
        <f t="shared" si="23"/>
        <v>6899.3499999999995</v>
      </c>
      <c r="T77" s="75">
        <f t="shared" si="24"/>
        <v>0.99999999999999989</v>
      </c>
      <c r="U77" s="76">
        <f t="shared" si="25"/>
        <v>0</v>
      </c>
      <c r="V77" s="77">
        <f t="shared" si="26"/>
        <v>0</v>
      </c>
      <c r="W77" s="78">
        <f t="shared" si="27"/>
        <v>0</v>
      </c>
    </row>
    <row r="78" spans="2:23" s="5" customFormat="1" ht="24.15" customHeight="1" x14ac:dyDescent="0.35">
      <c r="B78" s="4"/>
      <c r="C78" s="28" t="s">
        <v>386</v>
      </c>
      <c r="D78" s="28" t="s">
        <v>32</v>
      </c>
      <c r="E78" s="29" t="s">
        <v>839</v>
      </c>
      <c r="F78" s="30" t="s">
        <v>840</v>
      </c>
      <c r="G78" s="31" t="s">
        <v>120</v>
      </c>
      <c r="H78" s="32">
        <v>43</v>
      </c>
      <c r="I78" s="32">
        <v>43</v>
      </c>
      <c r="J78" s="33">
        <v>106.96</v>
      </c>
      <c r="K78" s="34">
        <f t="shared" si="19"/>
        <v>4599.28</v>
      </c>
      <c r="L78" s="90">
        <f t="shared" si="9"/>
        <v>4599.28</v>
      </c>
      <c r="M78" s="90">
        <f t="shared" si="28"/>
        <v>0</v>
      </c>
      <c r="N78" s="70">
        <v>0</v>
      </c>
      <c r="O78" s="71">
        <f t="shared" si="20"/>
        <v>0</v>
      </c>
      <c r="P78" s="72">
        <v>43</v>
      </c>
      <c r="Q78" s="73">
        <f t="shared" si="21"/>
        <v>4599.28</v>
      </c>
      <c r="R78" s="70">
        <f t="shared" si="22"/>
        <v>43</v>
      </c>
      <c r="S78" s="74">
        <f t="shared" si="23"/>
        <v>4599.28</v>
      </c>
      <c r="T78" s="75">
        <f t="shared" si="24"/>
        <v>1</v>
      </c>
      <c r="U78" s="76">
        <f t="shared" si="25"/>
        <v>0</v>
      </c>
      <c r="V78" s="77">
        <f t="shared" si="26"/>
        <v>0</v>
      </c>
      <c r="W78" s="78">
        <f t="shared" si="27"/>
        <v>0</v>
      </c>
    </row>
    <row r="79" spans="2:23" s="5" customFormat="1" ht="24.15" customHeight="1" x14ac:dyDescent="0.35">
      <c r="B79" s="4"/>
      <c r="C79" s="28" t="s">
        <v>387</v>
      </c>
      <c r="D79" s="28" t="s">
        <v>32</v>
      </c>
      <c r="E79" s="29" t="s">
        <v>841</v>
      </c>
      <c r="F79" s="30" t="s">
        <v>842</v>
      </c>
      <c r="G79" s="31" t="s">
        <v>272</v>
      </c>
      <c r="H79" s="32">
        <v>1</v>
      </c>
      <c r="I79" s="32">
        <v>1</v>
      </c>
      <c r="J79" s="33">
        <v>6016.77</v>
      </c>
      <c r="K79" s="34">
        <f t="shared" si="19"/>
        <v>6016.77</v>
      </c>
      <c r="L79" s="90">
        <f t="shared" si="9"/>
        <v>6016.77</v>
      </c>
      <c r="M79" s="90">
        <f t="shared" si="28"/>
        <v>0</v>
      </c>
      <c r="N79" s="70">
        <v>1</v>
      </c>
      <c r="O79" s="71">
        <f t="shared" si="20"/>
        <v>6016.77</v>
      </c>
      <c r="P79" s="72">
        <v>0</v>
      </c>
      <c r="Q79" s="73">
        <f t="shared" si="21"/>
        <v>0</v>
      </c>
      <c r="R79" s="70">
        <f t="shared" si="22"/>
        <v>1</v>
      </c>
      <c r="S79" s="74">
        <f t="shared" si="23"/>
        <v>6016.77</v>
      </c>
      <c r="T79" s="75">
        <f t="shared" si="24"/>
        <v>1</v>
      </c>
      <c r="U79" s="76">
        <f t="shared" si="25"/>
        <v>0</v>
      </c>
      <c r="V79" s="77">
        <f t="shared" si="26"/>
        <v>0</v>
      </c>
      <c r="W79" s="78">
        <f t="shared" si="27"/>
        <v>0</v>
      </c>
    </row>
    <row r="80" spans="2:23" s="5" customFormat="1" ht="24.15" customHeight="1" x14ac:dyDescent="0.35">
      <c r="B80" s="4"/>
      <c r="C80" s="28" t="s">
        <v>388</v>
      </c>
      <c r="D80" s="28" t="s">
        <v>32</v>
      </c>
      <c r="E80" s="29" t="s">
        <v>843</v>
      </c>
      <c r="F80" s="30" t="s">
        <v>844</v>
      </c>
      <c r="G80" s="31" t="s">
        <v>73</v>
      </c>
      <c r="H80" s="32">
        <v>2</v>
      </c>
      <c r="I80" s="32">
        <v>2</v>
      </c>
      <c r="J80" s="33">
        <v>3342.65</v>
      </c>
      <c r="K80" s="34">
        <f t="shared" si="19"/>
        <v>6685.3</v>
      </c>
      <c r="L80" s="90">
        <f t="shared" si="9"/>
        <v>6685.3</v>
      </c>
      <c r="M80" s="90">
        <f t="shared" si="28"/>
        <v>0</v>
      </c>
      <c r="N80" s="70">
        <v>0</v>
      </c>
      <c r="O80" s="71">
        <f t="shared" si="20"/>
        <v>0</v>
      </c>
      <c r="P80" s="72">
        <v>2</v>
      </c>
      <c r="Q80" s="73">
        <f t="shared" si="21"/>
        <v>6685.3</v>
      </c>
      <c r="R80" s="70">
        <f t="shared" si="22"/>
        <v>2</v>
      </c>
      <c r="S80" s="74">
        <f t="shared" si="23"/>
        <v>6685.3</v>
      </c>
      <c r="T80" s="75">
        <f t="shared" si="24"/>
        <v>1</v>
      </c>
      <c r="U80" s="76">
        <f t="shared" si="25"/>
        <v>0</v>
      </c>
      <c r="V80" s="77">
        <f t="shared" si="26"/>
        <v>0</v>
      </c>
      <c r="W80" s="78">
        <f t="shared" si="27"/>
        <v>0</v>
      </c>
    </row>
    <row r="81" spans="2:23" s="5" customFormat="1" ht="16.5" customHeight="1" x14ac:dyDescent="0.35">
      <c r="B81" s="4"/>
      <c r="C81" s="28" t="s">
        <v>390</v>
      </c>
      <c r="D81" s="28" t="s">
        <v>32</v>
      </c>
      <c r="E81" s="29" t="s">
        <v>845</v>
      </c>
      <c r="F81" s="30" t="s">
        <v>846</v>
      </c>
      <c r="G81" s="31" t="s">
        <v>120</v>
      </c>
      <c r="H81" s="32">
        <v>1</v>
      </c>
      <c r="I81" s="32">
        <v>1</v>
      </c>
      <c r="J81" s="33">
        <v>5080.83</v>
      </c>
      <c r="K81" s="34">
        <f t="shared" si="19"/>
        <v>5080.83</v>
      </c>
      <c r="L81" s="90">
        <f t="shared" si="9"/>
        <v>5080.83</v>
      </c>
      <c r="M81" s="90">
        <f t="shared" si="28"/>
        <v>0</v>
      </c>
      <c r="N81" s="70">
        <v>1</v>
      </c>
      <c r="O81" s="71">
        <f t="shared" si="20"/>
        <v>5080.83</v>
      </c>
      <c r="P81" s="72">
        <v>0</v>
      </c>
      <c r="Q81" s="73">
        <f t="shared" si="21"/>
        <v>0</v>
      </c>
      <c r="R81" s="70">
        <f t="shared" si="22"/>
        <v>1</v>
      </c>
      <c r="S81" s="74">
        <f t="shared" si="23"/>
        <v>5080.83</v>
      </c>
      <c r="T81" s="75">
        <f t="shared" si="24"/>
        <v>1</v>
      </c>
      <c r="U81" s="76">
        <f t="shared" si="25"/>
        <v>0</v>
      </c>
      <c r="V81" s="77">
        <f t="shared" si="26"/>
        <v>0</v>
      </c>
      <c r="W81" s="78">
        <f t="shared" si="27"/>
        <v>0</v>
      </c>
    </row>
    <row r="82" spans="2:23" s="5" customFormat="1" ht="16.5" customHeight="1" x14ac:dyDescent="0.35">
      <c r="B82" s="4"/>
      <c r="C82" s="28" t="s">
        <v>391</v>
      </c>
      <c r="D82" s="28" t="s">
        <v>32</v>
      </c>
      <c r="E82" s="29" t="s">
        <v>847</v>
      </c>
      <c r="F82" s="30" t="s">
        <v>848</v>
      </c>
      <c r="G82" s="31" t="s">
        <v>73</v>
      </c>
      <c r="H82" s="32">
        <v>1</v>
      </c>
      <c r="I82" s="32">
        <v>1</v>
      </c>
      <c r="J82" s="33">
        <v>668.53</v>
      </c>
      <c r="K82" s="34">
        <f t="shared" si="19"/>
        <v>668.53</v>
      </c>
      <c r="L82" s="90">
        <f t="shared" si="9"/>
        <v>668.53</v>
      </c>
      <c r="M82" s="90">
        <f t="shared" si="28"/>
        <v>0</v>
      </c>
      <c r="N82" s="70">
        <v>0</v>
      </c>
      <c r="O82" s="71">
        <f t="shared" si="20"/>
        <v>0</v>
      </c>
      <c r="P82" s="72">
        <v>1</v>
      </c>
      <c r="Q82" s="73">
        <f t="shared" si="21"/>
        <v>668.53</v>
      </c>
      <c r="R82" s="70">
        <f t="shared" si="22"/>
        <v>1</v>
      </c>
      <c r="S82" s="74">
        <f t="shared" si="23"/>
        <v>668.53</v>
      </c>
      <c r="T82" s="75">
        <f t="shared" si="24"/>
        <v>1</v>
      </c>
      <c r="U82" s="76">
        <f t="shared" si="25"/>
        <v>0</v>
      </c>
      <c r="V82" s="77">
        <f t="shared" si="26"/>
        <v>0</v>
      </c>
      <c r="W82" s="78">
        <f t="shared" si="27"/>
        <v>0</v>
      </c>
    </row>
    <row r="83" spans="2:23" s="5" customFormat="1" ht="16.5" customHeight="1" x14ac:dyDescent="0.35">
      <c r="B83" s="4"/>
      <c r="C83" s="28" t="s">
        <v>307</v>
      </c>
      <c r="D83" s="28" t="s">
        <v>32</v>
      </c>
      <c r="E83" s="29" t="s">
        <v>849</v>
      </c>
      <c r="F83" s="30" t="s">
        <v>850</v>
      </c>
      <c r="G83" s="31" t="s">
        <v>120</v>
      </c>
      <c r="H83" s="32">
        <v>25</v>
      </c>
      <c r="I83" s="32">
        <v>25</v>
      </c>
      <c r="J83" s="33">
        <v>26.74</v>
      </c>
      <c r="K83" s="34">
        <f t="shared" si="19"/>
        <v>668.5</v>
      </c>
      <c r="L83" s="90">
        <f t="shared" si="9"/>
        <v>668.5</v>
      </c>
      <c r="M83" s="90">
        <f t="shared" si="28"/>
        <v>0</v>
      </c>
      <c r="N83" s="70">
        <v>0</v>
      </c>
      <c r="O83" s="71">
        <f t="shared" si="20"/>
        <v>0</v>
      </c>
      <c r="P83" s="72">
        <v>25</v>
      </c>
      <c r="Q83" s="73">
        <f t="shared" si="21"/>
        <v>668.5</v>
      </c>
      <c r="R83" s="70">
        <f t="shared" si="22"/>
        <v>25</v>
      </c>
      <c r="S83" s="74">
        <f t="shared" si="23"/>
        <v>668.5</v>
      </c>
      <c r="T83" s="75">
        <f t="shared" si="24"/>
        <v>1</v>
      </c>
      <c r="U83" s="76">
        <f t="shared" si="25"/>
        <v>0</v>
      </c>
      <c r="V83" s="77">
        <f t="shared" si="26"/>
        <v>0</v>
      </c>
      <c r="W83" s="78">
        <f t="shared" si="27"/>
        <v>0</v>
      </c>
    </row>
    <row r="84" spans="2:23" s="5" customFormat="1" ht="21.75" customHeight="1" x14ac:dyDescent="0.35">
      <c r="B84" s="4"/>
      <c r="C84" s="28" t="s">
        <v>305</v>
      </c>
      <c r="D84" s="28" t="s">
        <v>32</v>
      </c>
      <c r="E84" s="29" t="s">
        <v>851</v>
      </c>
      <c r="F84" s="30" t="s">
        <v>852</v>
      </c>
      <c r="G84" s="31" t="s">
        <v>120</v>
      </c>
      <c r="H84" s="32">
        <v>25</v>
      </c>
      <c r="I84" s="32">
        <v>25</v>
      </c>
      <c r="J84" s="33">
        <v>9.36</v>
      </c>
      <c r="K84" s="34">
        <f t="shared" si="19"/>
        <v>234</v>
      </c>
      <c r="L84" s="90">
        <f t="shared" si="9"/>
        <v>234</v>
      </c>
      <c r="M84" s="90">
        <f t="shared" si="28"/>
        <v>0</v>
      </c>
      <c r="N84" s="70">
        <v>0</v>
      </c>
      <c r="O84" s="71">
        <f t="shared" si="20"/>
        <v>0</v>
      </c>
      <c r="P84" s="72">
        <v>25</v>
      </c>
      <c r="Q84" s="73">
        <f t="shared" si="21"/>
        <v>234</v>
      </c>
      <c r="R84" s="70">
        <f t="shared" si="22"/>
        <v>25</v>
      </c>
      <c r="S84" s="74">
        <f t="shared" si="23"/>
        <v>234</v>
      </c>
      <c r="T84" s="75">
        <f t="shared" si="24"/>
        <v>1</v>
      </c>
      <c r="U84" s="76">
        <f t="shared" si="25"/>
        <v>0</v>
      </c>
      <c r="V84" s="77">
        <f t="shared" si="26"/>
        <v>0</v>
      </c>
      <c r="W84" s="78">
        <f t="shared" si="27"/>
        <v>0</v>
      </c>
    </row>
    <row r="85" spans="2:23" s="5" customFormat="1" ht="21.75" customHeight="1" x14ac:dyDescent="0.35">
      <c r="B85" s="4"/>
      <c r="C85" s="28" t="s">
        <v>303</v>
      </c>
      <c r="D85" s="28" t="s">
        <v>32</v>
      </c>
      <c r="E85" s="29" t="s">
        <v>853</v>
      </c>
      <c r="F85" s="30" t="s">
        <v>895</v>
      </c>
      <c r="G85" s="31" t="s">
        <v>272</v>
      </c>
      <c r="H85" s="32">
        <v>2</v>
      </c>
      <c r="I85" s="32">
        <v>2</v>
      </c>
      <c r="J85" s="33">
        <v>42783.87</v>
      </c>
      <c r="K85" s="34">
        <f t="shared" si="19"/>
        <v>85567.74</v>
      </c>
      <c r="L85" s="90">
        <f>J85*I85</f>
        <v>85567.74</v>
      </c>
      <c r="M85" s="90">
        <f t="shared" si="28"/>
        <v>0</v>
      </c>
      <c r="N85" s="70">
        <v>2</v>
      </c>
      <c r="O85" s="71">
        <f t="shared" si="20"/>
        <v>85567.74</v>
      </c>
      <c r="P85" s="72"/>
      <c r="Q85" s="73">
        <f t="shared" si="21"/>
        <v>0</v>
      </c>
      <c r="R85" s="70">
        <f t="shared" si="22"/>
        <v>2</v>
      </c>
      <c r="S85" s="74">
        <f t="shared" si="23"/>
        <v>85567.74</v>
      </c>
      <c r="T85" s="75">
        <f t="shared" si="24"/>
        <v>1</v>
      </c>
      <c r="U85" s="76">
        <f t="shared" si="25"/>
        <v>0</v>
      </c>
      <c r="V85" s="77">
        <f t="shared" si="26"/>
        <v>0</v>
      </c>
      <c r="W85" s="78">
        <f t="shared" si="27"/>
        <v>0</v>
      </c>
    </row>
    <row r="86" spans="2:23" s="5" customFormat="1" ht="24.15" customHeight="1" x14ac:dyDescent="0.35">
      <c r="B86" s="4"/>
      <c r="C86" s="28" t="s">
        <v>392</v>
      </c>
      <c r="D86" s="28" t="s">
        <v>32</v>
      </c>
      <c r="E86" s="29" t="s">
        <v>855</v>
      </c>
      <c r="F86" s="30" t="s">
        <v>856</v>
      </c>
      <c r="G86" s="31" t="s">
        <v>272</v>
      </c>
      <c r="H86" s="32">
        <v>2</v>
      </c>
      <c r="I86" s="32">
        <v>2</v>
      </c>
      <c r="J86" s="33">
        <v>25671.54</v>
      </c>
      <c r="K86" s="34">
        <f t="shared" si="19"/>
        <v>51343.08</v>
      </c>
      <c r="L86" s="90">
        <f>J86*I86</f>
        <v>51343.08</v>
      </c>
      <c r="M86" s="90">
        <f t="shared" si="28"/>
        <v>0</v>
      </c>
      <c r="N86" s="70">
        <v>2</v>
      </c>
      <c r="O86" s="71">
        <f t="shared" si="20"/>
        <v>51343.08</v>
      </c>
      <c r="P86" s="72"/>
      <c r="Q86" s="73">
        <f t="shared" si="21"/>
        <v>0</v>
      </c>
      <c r="R86" s="70">
        <f t="shared" si="22"/>
        <v>2</v>
      </c>
      <c r="S86" s="74">
        <f t="shared" si="23"/>
        <v>51343.08</v>
      </c>
      <c r="T86" s="75">
        <f t="shared" si="24"/>
        <v>1</v>
      </c>
      <c r="U86" s="76">
        <f t="shared" si="25"/>
        <v>0</v>
      </c>
      <c r="V86" s="77">
        <f t="shared" si="26"/>
        <v>0</v>
      </c>
      <c r="W86" s="78">
        <f t="shared" si="27"/>
        <v>0</v>
      </c>
    </row>
    <row r="87" spans="2:23" s="5" customFormat="1" ht="21.75" customHeight="1" x14ac:dyDescent="0.35">
      <c r="B87" s="4"/>
      <c r="C87" s="28" t="s">
        <v>85</v>
      </c>
      <c r="D87" s="28" t="s">
        <v>32</v>
      </c>
      <c r="E87" s="29" t="s">
        <v>857</v>
      </c>
      <c r="F87" s="30" t="s">
        <v>896</v>
      </c>
      <c r="G87" s="31" t="s">
        <v>272</v>
      </c>
      <c r="H87" s="32">
        <v>1</v>
      </c>
      <c r="I87" s="32">
        <v>1</v>
      </c>
      <c r="J87" s="33">
        <v>32490.54</v>
      </c>
      <c r="K87" s="34">
        <f t="shared" si="19"/>
        <v>32490.54</v>
      </c>
      <c r="L87" s="90">
        <f>J87*I87</f>
        <v>32490.54</v>
      </c>
      <c r="M87" s="90">
        <f t="shared" si="28"/>
        <v>0</v>
      </c>
      <c r="N87" s="70">
        <v>1</v>
      </c>
      <c r="O87" s="71">
        <f t="shared" si="20"/>
        <v>32490.54</v>
      </c>
      <c r="P87" s="72"/>
      <c r="Q87" s="73">
        <f t="shared" si="21"/>
        <v>0</v>
      </c>
      <c r="R87" s="70">
        <f t="shared" si="22"/>
        <v>1</v>
      </c>
      <c r="S87" s="74">
        <f t="shared" si="23"/>
        <v>32490.54</v>
      </c>
      <c r="T87" s="75">
        <f t="shared" si="24"/>
        <v>1</v>
      </c>
      <c r="U87" s="76">
        <f t="shared" si="25"/>
        <v>0</v>
      </c>
      <c r="V87" s="77">
        <f t="shared" si="26"/>
        <v>0</v>
      </c>
      <c r="W87" s="78">
        <f t="shared" si="27"/>
        <v>0</v>
      </c>
    </row>
    <row r="88" spans="2:23" s="23" customFormat="1" ht="26" customHeight="1" x14ac:dyDescent="0.35">
      <c r="B88" s="22"/>
      <c r="D88" s="24" t="s">
        <v>27</v>
      </c>
      <c r="E88" s="25" t="s">
        <v>472</v>
      </c>
      <c r="F88" s="25" t="s">
        <v>260</v>
      </c>
      <c r="J88" s="26"/>
      <c r="K88" s="27">
        <f>SUM(K89)</f>
        <v>1203.3499999999999</v>
      </c>
      <c r="L88" s="27">
        <f>SUM(L89)</f>
        <v>1203.3499999999999</v>
      </c>
      <c r="M88" s="27"/>
      <c r="O88" s="27">
        <f>SUM(O89)</f>
        <v>962.68</v>
      </c>
      <c r="Q88" s="27">
        <f>SUM(Q89)</f>
        <v>240.67</v>
      </c>
      <c r="S88" s="27">
        <f>SUM(S89)</f>
        <v>1203.3499999999999</v>
      </c>
      <c r="V88" s="27">
        <f>SUM(V89)</f>
        <v>0</v>
      </c>
    </row>
    <row r="89" spans="2:23" s="5" customFormat="1" ht="24.15" customHeight="1" x14ac:dyDescent="0.35">
      <c r="B89" s="4"/>
      <c r="C89" s="28" t="s">
        <v>393</v>
      </c>
      <c r="D89" s="28" t="s">
        <v>32</v>
      </c>
      <c r="E89" s="29" t="s">
        <v>859</v>
      </c>
      <c r="F89" s="30" t="s">
        <v>860</v>
      </c>
      <c r="G89" s="31" t="s">
        <v>223</v>
      </c>
      <c r="H89" s="32">
        <v>1</v>
      </c>
      <c r="I89" s="32">
        <v>1</v>
      </c>
      <c r="J89" s="33">
        <v>1203.3499999999999</v>
      </c>
      <c r="K89" s="34">
        <f>ROUND(J89*H89,2)</f>
        <v>1203.3499999999999</v>
      </c>
      <c r="L89" s="90">
        <f>J89*I89</f>
        <v>1203.3499999999999</v>
      </c>
      <c r="M89" s="90"/>
      <c r="N89" s="70">
        <v>0.8</v>
      </c>
      <c r="O89" s="71">
        <f>N89*J89</f>
        <v>962.68</v>
      </c>
      <c r="P89" s="72">
        <v>0.2</v>
      </c>
      <c r="Q89" s="73">
        <f>P89*J89</f>
        <v>240.67</v>
      </c>
      <c r="R89" s="70">
        <f>P89+N89</f>
        <v>1</v>
      </c>
      <c r="S89" s="74">
        <f>R89*J89</f>
        <v>1203.3499999999999</v>
      </c>
      <c r="T89" s="75">
        <f>S89/K89</f>
        <v>1</v>
      </c>
      <c r="U89" s="76">
        <f>H89-R89</f>
        <v>0</v>
      </c>
      <c r="V89" s="77">
        <f>U89*J89</f>
        <v>0</v>
      </c>
      <c r="W89" s="78">
        <f>U89/H89</f>
        <v>0</v>
      </c>
    </row>
    <row r="90" spans="2:23" s="5" customFormat="1" ht="6.9" customHeight="1" x14ac:dyDescent="0.35">
      <c r="B90" s="11"/>
      <c r="C90" s="12"/>
      <c r="D90" s="12"/>
      <c r="E90" s="12"/>
      <c r="F90" s="12"/>
      <c r="G90" s="12"/>
      <c r="H90" s="12"/>
      <c r="I90" s="12"/>
      <c r="J90" s="12"/>
      <c r="K90" s="12"/>
    </row>
    <row r="91" spans="2:23" s="23" customFormat="1" ht="26" customHeight="1" x14ac:dyDescent="0.35">
      <c r="B91" s="22"/>
      <c r="D91" s="24"/>
      <c r="E91" s="25"/>
      <c r="F91" s="25" t="s">
        <v>1080</v>
      </c>
      <c r="J91" s="26"/>
      <c r="K91" s="27">
        <f>SUM(K92)</f>
        <v>0</v>
      </c>
      <c r="L91" s="27"/>
      <c r="M91" s="27"/>
      <c r="O91" s="27">
        <f>SUM(O92)</f>
        <v>0</v>
      </c>
      <c r="Q91" s="27">
        <f>SUM(Q92)</f>
        <v>0</v>
      </c>
      <c r="S91" s="27">
        <f>SUM(S92)</f>
        <v>0</v>
      </c>
      <c r="V91" s="27">
        <f>SUM(V92)</f>
        <v>0</v>
      </c>
    </row>
    <row r="92" spans="2:23" s="5" customFormat="1" ht="21.75" customHeight="1" x14ac:dyDescent="0.35">
      <c r="B92" s="4"/>
      <c r="C92" s="28"/>
      <c r="D92" s="28"/>
      <c r="E92" s="29" t="s">
        <v>1153</v>
      </c>
      <c r="F92" s="30" t="s">
        <v>1164</v>
      </c>
      <c r="G92" s="31" t="s">
        <v>214</v>
      </c>
      <c r="H92" s="32"/>
      <c r="I92" s="32">
        <v>2.1</v>
      </c>
      <c r="J92" s="33">
        <v>4360</v>
      </c>
      <c r="K92" s="34"/>
      <c r="L92" s="90">
        <f>J92*I92</f>
        <v>9156</v>
      </c>
      <c r="M92" s="90"/>
      <c r="N92" s="70"/>
      <c r="O92" s="71"/>
      <c r="P92" s="72"/>
      <c r="Q92" s="73"/>
      <c r="R92" s="70"/>
      <c r="S92" s="74"/>
      <c r="T92" s="75"/>
      <c r="U92" s="76"/>
      <c r="V92" s="77"/>
      <c r="W92" s="78"/>
    </row>
    <row r="93" spans="2:23" s="23" customFormat="1" ht="26" customHeight="1" x14ac:dyDescent="0.35">
      <c r="B93" s="22"/>
      <c r="D93" s="24"/>
      <c r="E93" s="25" t="s">
        <v>450</v>
      </c>
      <c r="F93" s="25" t="s">
        <v>803</v>
      </c>
      <c r="J93" s="26"/>
      <c r="K93" s="27"/>
      <c r="L93" s="27"/>
      <c r="M93" s="27"/>
      <c r="O93" s="27"/>
      <c r="Q93" s="27"/>
      <c r="S93" s="27"/>
      <c r="V93" s="27"/>
    </row>
    <row r="94" spans="2:23" s="5" customFormat="1" ht="21.75" customHeight="1" x14ac:dyDescent="0.35">
      <c r="B94" s="4"/>
      <c r="C94" s="28"/>
      <c r="D94" s="28"/>
      <c r="E94" s="29" t="s">
        <v>1154</v>
      </c>
      <c r="F94" s="30" t="s">
        <v>1155</v>
      </c>
      <c r="G94" s="31" t="s">
        <v>214</v>
      </c>
      <c r="H94" s="32"/>
      <c r="I94" s="32">
        <v>45</v>
      </c>
      <c r="J94" s="33">
        <v>195</v>
      </c>
      <c r="K94" s="34"/>
      <c r="L94" s="90">
        <f>J94*I94</f>
        <v>8775</v>
      </c>
      <c r="M94" s="90"/>
      <c r="N94" s="70"/>
      <c r="O94" s="71"/>
      <c r="P94" s="72"/>
      <c r="Q94" s="73"/>
      <c r="R94" s="70"/>
      <c r="S94" s="74"/>
      <c r="T94" s="75"/>
      <c r="U94" s="76"/>
      <c r="V94" s="77"/>
      <c r="W94" s="78"/>
    </row>
    <row r="95" spans="2:23" x14ac:dyDescent="0.35">
      <c r="E95" t="s">
        <v>1147</v>
      </c>
      <c r="F95" t="s">
        <v>1148</v>
      </c>
    </row>
    <row r="96" spans="2:23" x14ac:dyDescent="0.35">
      <c r="F96" t="s">
        <v>1152</v>
      </c>
    </row>
  </sheetData>
  <autoFilter ref="K2:K90" xr:uid="{F3BAE409-EEA5-4D34-9A5F-3D9A03E3E598}"/>
  <mergeCells count="7">
    <mergeCell ref="U16:W16"/>
    <mergeCell ref="E10:H10"/>
    <mergeCell ref="E6:H6"/>
    <mergeCell ref="E8:H8"/>
    <mergeCell ref="N16:O16"/>
    <mergeCell ref="P16:Q16"/>
    <mergeCell ref="R16:T16"/>
  </mergeCells>
  <phoneticPr fontId="36" type="noConversion"/>
  <pageMargins left="0.70866141732283472" right="0.70866141732283472" top="0.78740157480314965" bottom="0.78740157480314965" header="0.31496062992125984" footer="0.31496062992125984"/>
  <pageSetup paperSize="9" scale="7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DD06-65F4-44CA-85AF-3AAD53AB0D69}">
  <sheetPr>
    <pageSetUpPr fitToPage="1"/>
  </sheetPr>
  <dimension ref="B2:V89"/>
  <sheetViews>
    <sheetView view="pageBreakPreview" topLeftCell="A8" zoomScale="85" zoomScaleNormal="100" zoomScaleSheetLayoutView="85" workbookViewId="0">
      <selection activeCell="L20" sqref="L20"/>
    </sheetView>
  </sheetViews>
  <sheetFormatPr defaultRowHeight="14.5" x14ac:dyDescent="0.35"/>
  <cols>
    <col min="1" max="1" width="2.363281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5.54296875" customWidth="1"/>
    <col min="16" max="16" width="12.81640625" customWidth="1"/>
    <col min="18" max="18" width="12.6328125" customWidth="1"/>
    <col min="21" max="21" width="12.726562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263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735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/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</row>
    <row r="16" spans="2:22" s="5" customFormat="1" ht="20.5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SUM(K19,K44,K52,K55,K57,K64,K87)</f>
        <v>794310.35000000021</v>
      </c>
      <c r="L18" s="21">
        <f>SUM(L19,L44,L52,L55,L57,L64,L87)</f>
        <v>794310.35225999996</v>
      </c>
      <c r="M18" s="4"/>
      <c r="N18" s="21">
        <f>SUM(N19,N44,N52,N55,N57,N64,N87)</f>
        <v>714097.06179999991</v>
      </c>
      <c r="O18" s="63"/>
      <c r="P18" s="21">
        <f>SUM(P19,P44,P52,P55,P57,P64,P87)</f>
        <v>79729.280460000009</v>
      </c>
      <c r="Q18" s="64"/>
      <c r="R18" s="21">
        <f>SUM(R19,R44,R52,R55,R57,R64,R87)</f>
        <v>793826.34225999995</v>
      </c>
      <c r="S18" s="64"/>
      <c r="T18" s="63"/>
      <c r="U18" s="21">
        <f>SUM(U19,U44,U52,U55,U57,U64,U87)</f>
        <v>484.02000000000004</v>
      </c>
    </row>
    <row r="19" spans="2:22" s="23" customFormat="1" ht="26" customHeight="1" x14ac:dyDescent="0.35">
      <c r="B19" s="22"/>
      <c r="D19" s="24" t="s">
        <v>27</v>
      </c>
      <c r="E19" s="25" t="s">
        <v>61</v>
      </c>
      <c r="F19" s="25" t="s">
        <v>736</v>
      </c>
      <c r="J19" s="26"/>
      <c r="K19" s="27">
        <f>SUM(K20:K43)</f>
        <v>371421.97000000009</v>
      </c>
      <c r="L19" s="27">
        <f>SUM(L20:L43)-0.01</f>
        <v>371421.98065999994</v>
      </c>
      <c r="M19" s="65"/>
      <c r="N19" s="27">
        <f>SUM(N20:N43)</f>
        <v>365912.84519999998</v>
      </c>
      <c r="O19" s="67"/>
      <c r="P19" s="27">
        <f>SUM(P20:P43)</f>
        <v>5509.1454599999997</v>
      </c>
      <c r="Q19" s="68"/>
      <c r="R19" s="27">
        <f>SUM(R20:R43)</f>
        <v>371421.99065999995</v>
      </c>
      <c r="S19" s="68"/>
      <c r="T19" s="67"/>
      <c r="U19" s="27">
        <f>SUM(U20:U43)</f>
        <v>0</v>
      </c>
      <c r="V19" s="69"/>
    </row>
    <row r="20" spans="2:22" s="5" customFormat="1" ht="24.15" customHeight="1" x14ac:dyDescent="0.35">
      <c r="B20" s="4"/>
      <c r="C20" s="28" t="s">
        <v>31</v>
      </c>
      <c r="D20" s="28" t="s">
        <v>32</v>
      </c>
      <c r="E20" s="29" t="s">
        <v>737</v>
      </c>
      <c r="F20" s="30" t="s">
        <v>738</v>
      </c>
      <c r="G20" s="31" t="s">
        <v>207</v>
      </c>
      <c r="H20" s="32">
        <v>48.3</v>
      </c>
      <c r="I20" s="32">
        <v>48.3</v>
      </c>
      <c r="J20" s="33">
        <v>46.8</v>
      </c>
      <c r="K20" s="34">
        <f t="shared" ref="K20:K43" si="0">ROUND(J20*H20,2)</f>
        <v>2260.44</v>
      </c>
      <c r="L20" s="90">
        <f>I20*J20</f>
        <v>2260.4399999999996</v>
      </c>
      <c r="M20" s="70">
        <v>48.3</v>
      </c>
      <c r="N20" s="71">
        <f>M20*J20</f>
        <v>2260.4399999999996</v>
      </c>
      <c r="O20" s="72"/>
      <c r="P20" s="73">
        <f>O20*J20</f>
        <v>0</v>
      </c>
      <c r="Q20" s="70">
        <f t="shared" ref="Q20:Q43" si="1">O20+M20</f>
        <v>48.3</v>
      </c>
      <c r="R20" s="74">
        <f t="shared" ref="R20:R43" si="2">Q20*J20</f>
        <v>2260.4399999999996</v>
      </c>
      <c r="S20" s="75">
        <f t="shared" ref="S20:S43" si="3">R20/K20</f>
        <v>0.99999999999999978</v>
      </c>
      <c r="T20" s="76">
        <f t="shared" ref="T20:T43" si="4">H20-Q20</f>
        <v>0</v>
      </c>
      <c r="U20" s="77">
        <f t="shared" ref="U20:U43" si="5">T20*J20</f>
        <v>0</v>
      </c>
      <c r="V20" s="78">
        <f t="shared" ref="V20:V43" si="6">T20/H20</f>
        <v>0</v>
      </c>
    </row>
    <row r="21" spans="2:22" s="5" customFormat="1" ht="33" customHeight="1" x14ac:dyDescent="0.35">
      <c r="B21" s="4"/>
      <c r="C21" s="28" t="s">
        <v>0</v>
      </c>
      <c r="D21" s="28" t="s">
        <v>32</v>
      </c>
      <c r="E21" s="29" t="s">
        <v>739</v>
      </c>
      <c r="F21" s="30" t="s">
        <v>740</v>
      </c>
      <c r="G21" s="31" t="s">
        <v>207</v>
      </c>
      <c r="H21" s="32">
        <v>8.4</v>
      </c>
      <c r="I21" s="32">
        <v>8.4</v>
      </c>
      <c r="J21" s="33">
        <v>213.93</v>
      </c>
      <c r="K21" s="34">
        <f t="shared" si="0"/>
        <v>1797.01</v>
      </c>
      <c r="L21" s="90">
        <f t="shared" ref="L21:L84" si="7">I21*J21</f>
        <v>1797.0120000000002</v>
      </c>
      <c r="M21" s="70">
        <v>8.4</v>
      </c>
      <c r="N21" s="71">
        <f t="shared" ref="N21:N84" si="8">M21*J21</f>
        <v>1797.0120000000002</v>
      </c>
      <c r="O21" s="72"/>
      <c r="P21" s="73">
        <f t="shared" ref="P21:P84" si="9">O21*J21</f>
        <v>0</v>
      </c>
      <c r="Q21" s="70">
        <f t="shared" si="1"/>
        <v>8.4</v>
      </c>
      <c r="R21" s="74">
        <f t="shared" si="2"/>
        <v>1797.0120000000002</v>
      </c>
      <c r="S21" s="75">
        <f t="shared" si="3"/>
        <v>1.0000011129598612</v>
      </c>
      <c r="T21" s="76">
        <f t="shared" si="4"/>
        <v>0</v>
      </c>
      <c r="U21" s="77">
        <f t="shared" si="5"/>
        <v>0</v>
      </c>
      <c r="V21" s="78">
        <f t="shared" si="6"/>
        <v>0</v>
      </c>
    </row>
    <row r="22" spans="2:22" s="5" customFormat="1" ht="24.15" customHeight="1" x14ac:dyDescent="0.35">
      <c r="B22" s="4"/>
      <c r="C22" s="28" t="s">
        <v>38</v>
      </c>
      <c r="D22" s="28" t="s">
        <v>32</v>
      </c>
      <c r="E22" s="29" t="s">
        <v>741</v>
      </c>
      <c r="F22" s="30" t="s">
        <v>742</v>
      </c>
      <c r="G22" s="31" t="s">
        <v>207</v>
      </c>
      <c r="H22" s="32">
        <v>144.56</v>
      </c>
      <c r="I22" s="32">
        <v>144.56</v>
      </c>
      <c r="J22" s="33">
        <v>213.93</v>
      </c>
      <c r="K22" s="34">
        <f t="shared" si="0"/>
        <v>30925.72</v>
      </c>
      <c r="L22" s="90">
        <f t="shared" si="7"/>
        <v>30925.720800000003</v>
      </c>
      <c r="M22" s="70">
        <v>144.56</v>
      </c>
      <c r="N22" s="71">
        <f t="shared" si="8"/>
        <v>30925.720800000003</v>
      </c>
      <c r="O22" s="72"/>
      <c r="P22" s="73">
        <f t="shared" si="9"/>
        <v>0</v>
      </c>
      <c r="Q22" s="70">
        <f t="shared" si="1"/>
        <v>144.56</v>
      </c>
      <c r="R22" s="74">
        <f t="shared" si="2"/>
        <v>30925.720800000003</v>
      </c>
      <c r="S22" s="75">
        <f t="shared" si="3"/>
        <v>1.0000000258684358</v>
      </c>
      <c r="T22" s="76">
        <f t="shared" si="4"/>
        <v>0</v>
      </c>
      <c r="U22" s="77">
        <f t="shared" si="5"/>
        <v>0</v>
      </c>
      <c r="V22" s="78">
        <f t="shared" si="6"/>
        <v>0</v>
      </c>
    </row>
    <row r="23" spans="2:22" s="5" customFormat="1" ht="33" customHeight="1" x14ac:dyDescent="0.35">
      <c r="B23" s="4"/>
      <c r="C23" s="28" t="s">
        <v>41</v>
      </c>
      <c r="D23" s="28" t="s">
        <v>32</v>
      </c>
      <c r="E23" s="29" t="s">
        <v>743</v>
      </c>
      <c r="F23" s="30" t="s">
        <v>744</v>
      </c>
      <c r="G23" s="31" t="s">
        <v>214</v>
      </c>
      <c r="H23" s="32">
        <v>85.12</v>
      </c>
      <c r="I23" s="32">
        <v>85.12</v>
      </c>
      <c r="J23" s="33">
        <v>113.65</v>
      </c>
      <c r="K23" s="34">
        <f t="shared" si="0"/>
        <v>9673.89</v>
      </c>
      <c r="L23" s="90">
        <f t="shared" si="7"/>
        <v>9673.8880000000008</v>
      </c>
      <c r="M23" s="70">
        <v>85.12</v>
      </c>
      <c r="N23" s="71">
        <f t="shared" si="8"/>
        <v>9673.8880000000008</v>
      </c>
      <c r="O23" s="72"/>
      <c r="P23" s="73">
        <f t="shared" si="9"/>
        <v>0</v>
      </c>
      <c r="Q23" s="70">
        <f t="shared" si="1"/>
        <v>85.12</v>
      </c>
      <c r="R23" s="74">
        <f t="shared" si="2"/>
        <v>9673.8880000000008</v>
      </c>
      <c r="S23" s="75">
        <f t="shared" si="3"/>
        <v>0.99999979325793464</v>
      </c>
      <c r="T23" s="76">
        <f t="shared" si="4"/>
        <v>0</v>
      </c>
      <c r="U23" s="77">
        <f t="shared" si="5"/>
        <v>0</v>
      </c>
      <c r="V23" s="78">
        <f t="shared" si="6"/>
        <v>0</v>
      </c>
    </row>
    <row r="24" spans="2:22" s="5" customFormat="1" ht="33" customHeight="1" x14ac:dyDescent="0.35">
      <c r="B24" s="4"/>
      <c r="C24" s="28" t="s">
        <v>30</v>
      </c>
      <c r="D24" s="28" t="s">
        <v>32</v>
      </c>
      <c r="E24" s="29" t="s">
        <v>745</v>
      </c>
      <c r="F24" s="30" t="s">
        <v>746</v>
      </c>
      <c r="G24" s="31" t="s">
        <v>214</v>
      </c>
      <c r="H24" s="32">
        <v>8.4</v>
      </c>
      <c r="I24" s="32">
        <v>8.4</v>
      </c>
      <c r="J24" s="33">
        <v>307.52</v>
      </c>
      <c r="K24" s="34">
        <f t="shared" si="0"/>
        <v>2583.17</v>
      </c>
      <c r="L24" s="90">
        <f t="shared" si="7"/>
        <v>2583.1680000000001</v>
      </c>
      <c r="M24" s="70">
        <v>8.4</v>
      </c>
      <c r="N24" s="71">
        <f t="shared" si="8"/>
        <v>2583.1680000000001</v>
      </c>
      <c r="O24" s="72"/>
      <c r="P24" s="73">
        <f t="shared" si="9"/>
        <v>0</v>
      </c>
      <c r="Q24" s="70">
        <f t="shared" si="1"/>
        <v>8.4</v>
      </c>
      <c r="R24" s="74">
        <f t="shared" si="2"/>
        <v>2583.1680000000001</v>
      </c>
      <c r="S24" s="75">
        <f t="shared" si="3"/>
        <v>0.99999922575749955</v>
      </c>
      <c r="T24" s="76">
        <f t="shared" si="4"/>
        <v>0</v>
      </c>
      <c r="U24" s="77">
        <f t="shared" si="5"/>
        <v>0</v>
      </c>
      <c r="V24" s="78">
        <f t="shared" si="6"/>
        <v>0</v>
      </c>
    </row>
    <row r="25" spans="2:22" s="5" customFormat="1" ht="33" customHeight="1" x14ac:dyDescent="0.35">
      <c r="B25" s="4"/>
      <c r="C25" s="28" t="s">
        <v>46</v>
      </c>
      <c r="D25" s="28" t="s">
        <v>32</v>
      </c>
      <c r="E25" s="29" t="s">
        <v>747</v>
      </c>
      <c r="F25" s="30" t="s">
        <v>748</v>
      </c>
      <c r="G25" s="31" t="s">
        <v>214</v>
      </c>
      <c r="H25" s="32">
        <v>76.2</v>
      </c>
      <c r="I25" s="32">
        <v>76.2</v>
      </c>
      <c r="J25" s="33">
        <v>307.52</v>
      </c>
      <c r="K25" s="34">
        <f t="shared" si="0"/>
        <v>23433.02</v>
      </c>
      <c r="L25" s="90">
        <f t="shared" si="7"/>
        <v>23433.024000000001</v>
      </c>
      <c r="M25" s="70">
        <v>76.2</v>
      </c>
      <c r="N25" s="71">
        <f t="shared" si="8"/>
        <v>23433.024000000001</v>
      </c>
      <c r="O25" s="72"/>
      <c r="P25" s="73">
        <f t="shared" si="9"/>
        <v>0</v>
      </c>
      <c r="Q25" s="70">
        <f t="shared" si="1"/>
        <v>76.2</v>
      </c>
      <c r="R25" s="74">
        <f t="shared" si="2"/>
        <v>23433.024000000001</v>
      </c>
      <c r="S25" s="75">
        <f t="shared" si="3"/>
        <v>1.0000001706992954</v>
      </c>
      <c r="T25" s="76">
        <f t="shared" si="4"/>
        <v>0</v>
      </c>
      <c r="U25" s="77">
        <f t="shared" si="5"/>
        <v>0</v>
      </c>
      <c r="V25" s="78">
        <f t="shared" si="6"/>
        <v>0</v>
      </c>
    </row>
    <row r="26" spans="2:22" s="5" customFormat="1" ht="21.75" customHeight="1" x14ac:dyDescent="0.35">
      <c r="B26" s="4"/>
      <c r="C26" s="28" t="s">
        <v>49</v>
      </c>
      <c r="D26" s="28" t="s">
        <v>32</v>
      </c>
      <c r="E26" s="29" t="s">
        <v>749</v>
      </c>
      <c r="F26" s="30" t="s">
        <v>750</v>
      </c>
      <c r="G26" s="31" t="s">
        <v>207</v>
      </c>
      <c r="H26" s="32">
        <v>308</v>
      </c>
      <c r="I26" s="32">
        <v>308</v>
      </c>
      <c r="J26" s="33">
        <v>80.22</v>
      </c>
      <c r="K26" s="34">
        <f t="shared" si="0"/>
        <v>24707.759999999998</v>
      </c>
      <c r="L26" s="90">
        <f t="shared" si="7"/>
        <v>24707.759999999998</v>
      </c>
      <c r="M26" s="70">
        <v>308</v>
      </c>
      <c r="N26" s="71">
        <f t="shared" si="8"/>
        <v>24707.759999999998</v>
      </c>
      <c r="O26" s="72"/>
      <c r="P26" s="73">
        <f t="shared" si="9"/>
        <v>0</v>
      </c>
      <c r="Q26" s="70">
        <f t="shared" si="1"/>
        <v>308</v>
      </c>
      <c r="R26" s="74">
        <f t="shared" si="2"/>
        <v>24707.759999999998</v>
      </c>
      <c r="S26" s="75">
        <f t="shared" si="3"/>
        <v>1</v>
      </c>
      <c r="T26" s="76">
        <f t="shared" si="4"/>
        <v>0</v>
      </c>
      <c r="U26" s="77">
        <f t="shared" si="5"/>
        <v>0</v>
      </c>
      <c r="V26" s="78">
        <f t="shared" si="6"/>
        <v>0</v>
      </c>
    </row>
    <row r="27" spans="2:22" s="5" customFormat="1" ht="24.15" customHeight="1" x14ac:dyDescent="0.35">
      <c r="B27" s="4"/>
      <c r="C27" s="28" t="s">
        <v>52</v>
      </c>
      <c r="D27" s="28" t="s">
        <v>32</v>
      </c>
      <c r="E27" s="29" t="s">
        <v>751</v>
      </c>
      <c r="F27" s="30" t="s">
        <v>752</v>
      </c>
      <c r="G27" s="31" t="s">
        <v>207</v>
      </c>
      <c r="H27" s="32">
        <v>79.349999999999994</v>
      </c>
      <c r="I27" s="32">
        <v>79.349999999999994</v>
      </c>
      <c r="J27" s="33">
        <v>160.44999999999999</v>
      </c>
      <c r="K27" s="34">
        <f t="shared" si="0"/>
        <v>12731.71</v>
      </c>
      <c r="L27" s="90">
        <f t="shared" si="7"/>
        <v>12731.707499999999</v>
      </c>
      <c r="M27" s="70">
        <v>79.349999999999994</v>
      </c>
      <c r="N27" s="71">
        <f t="shared" si="8"/>
        <v>12731.707499999999</v>
      </c>
      <c r="O27" s="72"/>
      <c r="P27" s="73">
        <f t="shared" si="9"/>
        <v>0</v>
      </c>
      <c r="Q27" s="70">
        <f t="shared" si="1"/>
        <v>79.349999999999994</v>
      </c>
      <c r="R27" s="74">
        <f t="shared" si="2"/>
        <v>12731.707499999999</v>
      </c>
      <c r="S27" s="75">
        <f t="shared" si="3"/>
        <v>0.99999980363988805</v>
      </c>
      <c r="T27" s="76">
        <f t="shared" si="4"/>
        <v>0</v>
      </c>
      <c r="U27" s="77">
        <f t="shared" si="5"/>
        <v>0</v>
      </c>
      <c r="V27" s="78">
        <f t="shared" si="6"/>
        <v>0</v>
      </c>
    </row>
    <row r="28" spans="2:22" s="5" customFormat="1" ht="24.15" customHeight="1" x14ac:dyDescent="0.35">
      <c r="B28" s="4"/>
      <c r="C28" s="28" t="s">
        <v>55</v>
      </c>
      <c r="D28" s="28" t="s">
        <v>32</v>
      </c>
      <c r="E28" s="29" t="s">
        <v>753</v>
      </c>
      <c r="F28" s="30" t="s">
        <v>754</v>
      </c>
      <c r="G28" s="31" t="s">
        <v>207</v>
      </c>
      <c r="H28" s="32">
        <v>308</v>
      </c>
      <c r="I28" s="32">
        <v>308</v>
      </c>
      <c r="J28" s="33">
        <v>40.11</v>
      </c>
      <c r="K28" s="34">
        <f t="shared" si="0"/>
        <v>12353.88</v>
      </c>
      <c r="L28" s="90">
        <f t="shared" si="7"/>
        <v>12353.88</v>
      </c>
      <c r="M28" s="70">
        <v>308</v>
      </c>
      <c r="N28" s="71">
        <f t="shared" si="8"/>
        <v>12353.88</v>
      </c>
      <c r="O28" s="72"/>
      <c r="P28" s="73">
        <f t="shared" si="9"/>
        <v>0</v>
      </c>
      <c r="Q28" s="70">
        <f t="shared" si="1"/>
        <v>308</v>
      </c>
      <c r="R28" s="74">
        <f t="shared" si="2"/>
        <v>12353.88</v>
      </c>
      <c r="S28" s="75">
        <f t="shared" si="3"/>
        <v>1</v>
      </c>
      <c r="T28" s="76">
        <f t="shared" si="4"/>
        <v>0</v>
      </c>
      <c r="U28" s="77">
        <f t="shared" si="5"/>
        <v>0</v>
      </c>
      <c r="V28" s="78">
        <f t="shared" si="6"/>
        <v>0</v>
      </c>
    </row>
    <row r="29" spans="2:22" s="5" customFormat="1" ht="24.15" customHeight="1" x14ac:dyDescent="0.35">
      <c r="B29" s="4"/>
      <c r="C29" s="28" t="s">
        <v>58</v>
      </c>
      <c r="D29" s="28" t="s">
        <v>32</v>
      </c>
      <c r="E29" s="29" t="s">
        <v>755</v>
      </c>
      <c r="F29" s="30" t="s">
        <v>756</v>
      </c>
      <c r="G29" s="31" t="s">
        <v>207</v>
      </c>
      <c r="H29" s="32">
        <v>79.349999999999994</v>
      </c>
      <c r="I29" s="32">
        <v>79.349999999999994</v>
      </c>
      <c r="J29" s="33">
        <v>80.22</v>
      </c>
      <c r="K29" s="34">
        <f t="shared" si="0"/>
        <v>6365.46</v>
      </c>
      <c r="L29" s="90">
        <f t="shared" si="7"/>
        <v>6365.4569999999994</v>
      </c>
      <c r="M29" s="70">
        <v>79.349999999999994</v>
      </c>
      <c r="N29" s="71">
        <f t="shared" si="8"/>
        <v>6365.4569999999994</v>
      </c>
      <c r="O29" s="72"/>
      <c r="P29" s="73">
        <f t="shared" si="9"/>
        <v>0</v>
      </c>
      <c r="Q29" s="70">
        <f t="shared" si="1"/>
        <v>79.349999999999994</v>
      </c>
      <c r="R29" s="74">
        <f t="shared" si="2"/>
        <v>6365.4569999999994</v>
      </c>
      <c r="S29" s="75">
        <f t="shared" si="3"/>
        <v>0.99999952870648778</v>
      </c>
      <c r="T29" s="76">
        <f t="shared" si="4"/>
        <v>0</v>
      </c>
      <c r="U29" s="77">
        <f t="shared" si="5"/>
        <v>0</v>
      </c>
      <c r="V29" s="78">
        <f t="shared" si="6"/>
        <v>0</v>
      </c>
    </row>
    <row r="30" spans="2:22" s="5" customFormat="1" ht="24.15" customHeight="1" x14ac:dyDescent="0.35">
      <c r="B30" s="4"/>
      <c r="C30" s="28" t="s">
        <v>61</v>
      </c>
      <c r="D30" s="28" t="s">
        <v>32</v>
      </c>
      <c r="E30" s="29" t="s">
        <v>757</v>
      </c>
      <c r="F30" s="30" t="s">
        <v>758</v>
      </c>
      <c r="G30" s="31" t="s">
        <v>214</v>
      </c>
      <c r="H30" s="32">
        <v>169.72</v>
      </c>
      <c r="I30" s="32">
        <v>169.72</v>
      </c>
      <c r="J30" s="33">
        <v>93.59</v>
      </c>
      <c r="K30" s="34">
        <f t="shared" si="0"/>
        <v>15884.09</v>
      </c>
      <c r="L30" s="90">
        <f t="shared" si="7"/>
        <v>15884.094800000001</v>
      </c>
      <c r="M30" s="70">
        <v>169.72</v>
      </c>
      <c r="N30" s="71">
        <f t="shared" si="8"/>
        <v>15884.094800000001</v>
      </c>
      <c r="O30" s="72"/>
      <c r="P30" s="73">
        <f t="shared" si="9"/>
        <v>0</v>
      </c>
      <c r="Q30" s="70">
        <f t="shared" si="1"/>
        <v>169.72</v>
      </c>
      <c r="R30" s="74">
        <f t="shared" si="2"/>
        <v>15884.094800000001</v>
      </c>
      <c r="S30" s="75">
        <f t="shared" si="3"/>
        <v>1.0000003021891717</v>
      </c>
      <c r="T30" s="76">
        <f t="shared" si="4"/>
        <v>0</v>
      </c>
      <c r="U30" s="77">
        <f t="shared" si="5"/>
        <v>0</v>
      </c>
      <c r="V30" s="78">
        <f t="shared" si="6"/>
        <v>0</v>
      </c>
    </row>
    <row r="31" spans="2:22" s="5" customFormat="1" ht="38" customHeight="1" x14ac:dyDescent="0.35">
      <c r="B31" s="4"/>
      <c r="C31" s="28" t="s">
        <v>64</v>
      </c>
      <c r="D31" s="28" t="s">
        <v>32</v>
      </c>
      <c r="E31" s="29" t="s">
        <v>217</v>
      </c>
      <c r="F31" s="30" t="s">
        <v>218</v>
      </c>
      <c r="G31" s="31" t="s">
        <v>214</v>
      </c>
      <c r="H31" s="32">
        <v>169.72</v>
      </c>
      <c r="I31" s="32">
        <v>169.72</v>
      </c>
      <c r="J31" s="33">
        <v>213.93</v>
      </c>
      <c r="K31" s="34">
        <f t="shared" si="0"/>
        <v>36308.199999999997</v>
      </c>
      <c r="L31" s="90">
        <f t="shared" si="7"/>
        <v>36308.1996</v>
      </c>
      <c r="M31" s="70">
        <v>169.72</v>
      </c>
      <c r="N31" s="71">
        <f t="shared" si="8"/>
        <v>36308.1996</v>
      </c>
      <c r="O31" s="72"/>
      <c r="P31" s="73">
        <f t="shared" si="9"/>
        <v>0</v>
      </c>
      <c r="Q31" s="70">
        <f t="shared" si="1"/>
        <v>169.72</v>
      </c>
      <c r="R31" s="74">
        <f t="shared" si="2"/>
        <v>36308.1996</v>
      </c>
      <c r="S31" s="75">
        <f t="shared" si="3"/>
        <v>0.99999998898320497</v>
      </c>
      <c r="T31" s="76">
        <f t="shared" si="4"/>
        <v>0</v>
      </c>
      <c r="U31" s="77">
        <f t="shared" si="5"/>
        <v>0</v>
      </c>
      <c r="V31" s="78">
        <f t="shared" si="6"/>
        <v>0</v>
      </c>
    </row>
    <row r="32" spans="2:22" s="5" customFormat="1" ht="38" customHeight="1" x14ac:dyDescent="0.35">
      <c r="B32" s="4"/>
      <c r="C32" s="28" t="s">
        <v>130</v>
      </c>
      <c r="D32" s="28" t="s">
        <v>32</v>
      </c>
      <c r="E32" s="29" t="s">
        <v>759</v>
      </c>
      <c r="F32" s="30" t="s">
        <v>760</v>
      </c>
      <c r="G32" s="31" t="s">
        <v>214</v>
      </c>
      <c r="H32" s="32">
        <v>1697.2</v>
      </c>
      <c r="I32" s="32">
        <v>1697.2</v>
      </c>
      <c r="J32" s="33">
        <v>1.34</v>
      </c>
      <c r="K32" s="34">
        <f t="shared" si="0"/>
        <v>2274.25</v>
      </c>
      <c r="L32" s="90">
        <f t="shared" si="7"/>
        <v>2274.248</v>
      </c>
      <c r="M32" s="70">
        <v>1697.2</v>
      </c>
      <c r="N32" s="71">
        <f>M32*J32</f>
        <v>2274.248</v>
      </c>
      <c r="O32" s="72"/>
      <c r="P32" s="73">
        <f t="shared" si="9"/>
        <v>0</v>
      </c>
      <c r="Q32" s="70">
        <f t="shared" si="1"/>
        <v>1697.2</v>
      </c>
      <c r="R32" s="74">
        <f t="shared" si="2"/>
        <v>2274.248</v>
      </c>
      <c r="S32" s="75">
        <f t="shared" si="3"/>
        <v>0.99999912058920526</v>
      </c>
      <c r="T32" s="76">
        <f t="shared" si="4"/>
        <v>0</v>
      </c>
      <c r="U32" s="77">
        <f t="shared" si="5"/>
        <v>0</v>
      </c>
      <c r="V32" s="78">
        <f t="shared" si="6"/>
        <v>0</v>
      </c>
    </row>
    <row r="33" spans="2:22" s="5" customFormat="1" ht="24.15" customHeight="1" x14ac:dyDescent="0.35">
      <c r="B33" s="4"/>
      <c r="C33" s="28" t="s">
        <v>133</v>
      </c>
      <c r="D33" s="28" t="s">
        <v>32</v>
      </c>
      <c r="E33" s="29" t="s">
        <v>224</v>
      </c>
      <c r="F33" s="30" t="s">
        <v>225</v>
      </c>
      <c r="G33" s="31" t="s">
        <v>214</v>
      </c>
      <c r="H33" s="32">
        <v>169.72</v>
      </c>
      <c r="I33" s="32">
        <v>169.72</v>
      </c>
      <c r="J33" s="33">
        <v>60.17</v>
      </c>
      <c r="K33" s="34">
        <f t="shared" si="0"/>
        <v>10212.049999999999</v>
      </c>
      <c r="L33" s="90">
        <f t="shared" si="7"/>
        <v>10212.0524</v>
      </c>
      <c r="M33" s="70">
        <v>169.72</v>
      </c>
      <c r="N33" s="71">
        <f t="shared" si="8"/>
        <v>10212.0524</v>
      </c>
      <c r="O33" s="72"/>
      <c r="P33" s="73">
        <f t="shared" si="9"/>
        <v>0</v>
      </c>
      <c r="Q33" s="70">
        <f t="shared" si="1"/>
        <v>169.72</v>
      </c>
      <c r="R33" s="74">
        <f t="shared" si="2"/>
        <v>10212.0524</v>
      </c>
      <c r="S33" s="75">
        <f t="shared" si="3"/>
        <v>1.0000002350164758</v>
      </c>
      <c r="T33" s="76">
        <f t="shared" si="4"/>
        <v>0</v>
      </c>
      <c r="U33" s="77">
        <f t="shared" si="5"/>
        <v>0</v>
      </c>
      <c r="V33" s="78">
        <f t="shared" si="6"/>
        <v>0</v>
      </c>
    </row>
    <row r="34" spans="2:22" s="5" customFormat="1" ht="33" customHeight="1" x14ac:dyDescent="0.35">
      <c r="B34" s="4"/>
      <c r="C34" s="28" t="s">
        <v>136</v>
      </c>
      <c r="D34" s="28" t="s">
        <v>32</v>
      </c>
      <c r="E34" s="29" t="s">
        <v>761</v>
      </c>
      <c r="F34" s="30" t="s">
        <v>762</v>
      </c>
      <c r="G34" s="31" t="s">
        <v>223</v>
      </c>
      <c r="H34" s="32">
        <v>305.49599999999998</v>
      </c>
      <c r="I34" s="32">
        <v>305.49599999999998</v>
      </c>
      <c r="J34" s="33">
        <v>212.59</v>
      </c>
      <c r="K34" s="34">
        <f t="shared" si="0"/>
        <v>64945.39</v>
      </c>
      <c r="L34" s="90">
        <f t="shared" si="7"/>
        <v>64945.394639999999</v>
      </c>
      <c r="M34" s="70">
        <v>305.49599999999998</v>
      </c>
      <c r="N34" s="71">
        <f t="shared" si="8"/>
        <v>64945.394639999999</v>
      </c>
      <c r="O34" s="72"/>
      <c r="P34" s="73">
        <f t="shared" si="9"/>
        <v>0</v>
      </c>
      <c r="Q34" s="70">
        <f t="shared" si="1"/>
        <v>305.49599999999998</v>
      </c>
      <c r="R34" s="74">
        <f t="shared" si="2"/>
        <v>64945.394639999999</v>
      </c>
      <c r="S34" s="75">
        <f t="shared" si="3"/>
        <v>1.0000000714446398</v>
      </c>
      <c r="T34" s="76">
        <f t="shared" si="4"/>
        <v>0</v>
      </c>
      <c r="U34" s="77">
        <f t="shared" si="5"/>
        <v>0</v>
      </c>
      <c r="V34" s="78">
        <f t="shared" si="6"/>
        <v>0</v>
      </c>
    </row>
    <row r="35" spans="2:22" s="5" customFormat="1" ht="16.5" customHeight="1" x14ac:dyDescent="0.35">
      <c r="B35" s="4"/>
      <c r="C35" s="28" t="s">
        <v>74</v>
      </c>
      <c r="D35" s="28" t="s">
        <v>32</v>
      </c>
      <c r="E35" s="29" t="s">
        <v>763</v>
      </c>
      <c r="F35" s="30" t="s">
        <v>764</v>
      </c>
      <c r="G35" s="31" t="s">
        <v>214</v>
      </c>
      <c r="H35" s="32">
        <v>169.72</v>
      </c>
      <c r="I35" s="32">
        <v>169.72</v>
      </c>
      <c r="J35" s="33">
        <v>1.34</v>
      </c>
      <c r="K35" s="34">
        <f t="shared" si="0"/>
        <v>227.42</v>
      </c>
      <c r="L35" s="90">
        <f t="shared" si="7"/>
        <v>227.4248</v>
      </c>
      <c r="M35" s="70">
        <v>169.72</v>
      </c>
      <c r="N35" s="71">
        <f t="shared" si="8"/>
        <v>227.4248</v>
      </c>
      <c r="O35" s="72"/>
      <c r="P35" s="73">
        <f t="shared" si="9"/>
        <v>0</v>
      </c>
      <c r="Q35" s="70">
        <f t="shared" si="1"/>
        <v>169.72</v>
      </c>
      <c r="R35" s="74">
        <f t="shared" si="2"/>
        <v>227.4248</v>
      </c>
      <c r="S35" s="75">
        <f t="shared" si="3"/>
        <v>1.0000211063231028</v>
      </c>
      <c r="T35" s="76">
        <f t="shared" si="4"/>
        <v>0</v>
      </c>
      <c r="U35" s="77">
        <f t="shared" si="5"/>
        <v>0</v>
      </c>
      <c r="V35" s="78">
        <f t="shared" si="6"/>
        <v>0</v>
      </c>
    </row>
    <row r="36" spans="2:22" s="5" customFormat="1" ht="24.15" customHeight="1" x14ac:dyDescent="0.35">
      <c r="B36" s="4"/>
      <c r="C36" s="28" t="s">
        <v>143</v>
      </c>
      <c r="D36" s="28" t="s">
        <v>32</v>
      </c>
      <c r="E36" s="29" t="s">
        <v>765</v>
      </c>
      <c r="F36" s="30" t="s">
        <v>766</v>
      </c>
      <c r="G36" s="31" t="s">
        <v>214</v>
      </c>
      <c r="H36" s="32">
        <v>36.35</v>
      </c>
      <c r="I36" s="32">
        <v>36.35</v>
      </c>
      <c r="J36" s="33">
        <v>213.93</v>
      </c>
      <c r="K36" s="34">
        <f t="shared" si="0"/>
        <v>7776.36</v>
      </c>
      <c r="L36" s="90">
        <f t="shared" si="7"/>
        <v>7776.3555000000006</v>
      </c>
      <c r="M36" s="70">
        <v>36.35</v>
      </c>
      <c r="N36" s="71">
        <f t="shared" si="8"/>
        <v>7776.3555000000006</v>
      </c>
      <c r="O36" s="72"/>
      <c r="P36" s="73">
        <f t="shared" si="9"/>
        <v>0</v>
      </c>
      <c r="Q36" s="70">
        <f t="shared" si="1"/>
        <v>36.35</v>
      </c>
      <c r="R36" s="74">
        <f t="shared" si="2"/>
        <v>7776.3555000000006</v>
      </c>
      <c r="S36" s="75">
        <f t="shared" si="3"/>
        <v>0.99999942132308706</v>
      </c>
      <c r="T36" s="76">
        <f t="shared" si="4"/>
        <v>0</v>
      </c>
      <c r="U36" s="77">
        <f t="shared" si="5"/>
        <v>0</v>
      </c>
      <c r="V36" s="78">
        <f t="shared" si="6"/>
        <v>0</v>
      </c>
    </row>
    <row r="37" spans="2:22" s="5" customFormat="1" ht="16.5" customHeight="1" x14ac:dyDescent="0.35">
      <c r="B37" s="4"/>
      <c r="C37" s="38" t="s">
        <v>147</v>
      </c>
      <c r="D37" s="38" t="s">
        <v>193</v>
      </c>
      <c r="E37" s="39" t="s">
        <v>767</v>
      </c>
      <c r="F37" s="40" t="s">
        <v>768</v>
      </c>
      <c r="G37" s="41" t="s">
        <v>223</v>
      </c>
      <c r="H37" s="42">
        <v>4.4640000000000004</v>
      </c>
      <c r="I37" s="42">
        <v>4.4640000000000004</v>
      </c>
      <c r="J37" s="43">
        <v>414.49</v>
      </c>
      <c r="K37" s="44">
        <f t="shared" si="0"/>
        <v>1850.28</v>
      </c>
      <c r="L37" s="90">
        <f t="shared" si="7"/>
        <v>1850.2833600000001</v>
      </c>
      <c r="M37" s="70">
        <v>4.4640000000000004</v>
      </c>
      <c r="N37" s="71">
        <f t="shared" si="8"/>
        <v>1850.2833600000001</v>
      </c>
      <c r="O37" s="72"/>
      <c r="P37" s="73">
        <f t="shared" si="9"/>
        <v>0</v>
      </c>
      <c r="Q37" s="70">
        <f t="shared" si="1"/>
        <v>4.4640000000000004</v>
      </c>
      <c r="R37" s="74">
        <f t="shared" si="2"/>
        <v>1850.2833600000001</v>
      </c>
      <c r="S37" s="75">
        <f t="shared" si="3"/>
        <v>1.0000018159413711</v>
      </c>
      <c r="T37" s="76">
        <f t="shared" si="4"/>
        <v>0</v>
      </c>
      <c r="U37" s="77">
        <f t="shared" si="5"/>
        <v>0</v>
      </c>
      <c r="V37" s="78">
        <f t="shared" si="6"/>
        <v>0</v>
      </c>
    </row>
    <row r="38" spans="2:22" s="5" customFormat="1" ht="24.15" customHeight="1" x14ac:dyDescent="0.35">
      <c r="B38" s="4"/>
      <c r="C38" s="28" t="s">
        <v>149</v>
      </c>
      <c r="D38" s="28" t="s">
        <v>32</v>
      </c>
      <c r="E38" s="29" t="s">
        <v>769</v>
      </c>
      <c r="F38" s="30" t="s">
        <v>770</v>
      </c>
      <c r="G38" s="31" t="s">
        <v>214</v>
      </c>
      <c r="H38" s="32">
        <v>106.42</v>
      </c>
      <c r="I38" s="32">
        <v>106.42</v>
      </c>
      <c r="J38" s="33">
        <v>347.64</v>
      </c>
      <c r="K38" s="34">
        <f t="shared" si="0"/>
        <v>36995.85</v>
      </c>
      <c r="L38" s="90">
        <f t="shared" si="7"/>
        <v>36995.8488</v>
      </c>
      <c r="M38" s="70">
        <v>106.42</v>
      </c>
      <c r="N38" s="71">
        <f t="shared" si="8"/>
        <v>36995.8488</v>
      </c>
      <c r="O38" s="72"/>
      <c r="P38" s="73">
        <f t="shared" si="9"/>
        <v>0</v>
      </c>
      <c r="Q38" s="70">
        <f t="shared" si="1"/>
        <v>106.42</v>
      </c>
      <c r="R38" s="74">
        <f t="shared" si="2"/>
        <v>36995.8488</v>
      </c>
      <c r="S38" s="75">
        <f t="shared" si="3"/>
        <v>0.9999999675639295</v>
      </c>
      <c r="T38" s="76">
        <f t="shared" si="4"/>
        <v>0</v>
      </c>
      <c r="U38" s="77">
        <f t="shared" si="5"/>
        <v>0</v>
      </c>
      <c r="V38" s="78">
        <f t="shared" si="6"/>
        <v>0</v>
      </c>
    </row>
    <row r="39" spans="2:22" s="5" customFormat="1" ht="16.5" customHeight="1" x14ac:dyDescent="0.35">
      <c r="B39" s="4"/>
      <c r="C39" s="38" t="s">
        <v>151</v>
      </c>
      <c r="D39" s="38" t="s">
        <v>193</v>
      </c>
      <c r="E39" s="39" t="s">
        <v>771</v>
      </c>
      <c r="F39" s="40" t="s">
        <v>772</v>
      </c>
      <c r="G39" s="41" t="s">
        <v>223</v>
      </c>
      <c r="H39" s="42">
        <v>115.76</v>
      </c>
      <c r="I39" s="42">
        <v>115.76</v>
      </c>
      <c r="J39" s="43">
        <v>294.14999999999998</v>
      </c>
      <c r="K39" s="44">
        <f t="shared" si="0"/>
        <v>34050.800000000003</v>
      </c>
      <c r="L39" s="90">
        <f t="shared" si="7"/>
        <v>34050.803999999996</v>
      </c>
      <c r="M39" s="70">
        <v>115.76</v>
      </c>
      <c r="N39" s="71">
        <f t="shared" si="8"/>
        <v>34050.803999999996</v>
      </c>
      <c r="O39" s="72"/>
      <c r="P39" s="73">
        <f t="shared" si="9"/>
        <v>0</v>
      </c>
      <c r="Q39" s="70">
        <f t="shared" si="1"/>
        <v>115.76</v>
      </c>
      <c r="R39" s="74">
        <f t="shared" si="2"/>
        <v>34050.803999999996</v>
      </c>
      <c r="S39" s="75">
        <f t="shared" si="3"/>
        <v>1.0000001174715423</v>
      </c>
      <c r="T39" s="76">
        <f t="shared" si="4"/>
        <v>0</v>
      </c>
      <c r="U39" s="77">
        <f t="shared" si="5"/>
        <v>0</v>
      </c>
      <c r="V39" s="78">
        <f t="shared" si="6"/>
        <v>0</v>
      </c>
    </row>
    <row r="40" spans="2:22" s="5" customFormat="1" ht="16.5" customHeight="1" x14ac:dyDescent="0.35">
      <c r="B40" s="4"/>
      <c r="C40" s="38" t="s">
        <v>155</v>
      </c>
      <c r="D40" s="38" t="s">
        <v>193</v>
      </c>
      <c r="E40" s="39" t="s">
        <v>773</v>
      </c>
      <c r="F40" s="40" t="s">
        <v>774</v>
      </c>
      <c r="G40" s="41" t="s">
        <v>223</v>
      </c>
      <c r="H40" s="42">
        <v>94.08</v>
      </c>
      <c r="I40" s="42">
        <v>94.08</v>
      </c>
      <c r="J40" s="43">
        <v>294.14999999999998</v>
      </c>
      <c r="K40" s="44">
        <f t="shared" si="0"/>
        <v>27673.63</v>
      </c>
      <c r="L40" s="90">
        <f t="shared" si="7"/>
        <v>27673.631999999998</v>
      </c>
      <c r="M40" s="70">
        <v>94.08</v>
      </c>
      <c r="N40" s="71">
        <f t="shared" si="8"/>
        <v>27673.631999999998</v>
      </c>
      <c r="O40" s="72"/>
      <c r="P40" s="73">
        <f t="shared" si="9"/>
        <v>0</v>
      </c>
      <c r="Q40" s="70">
        <f t="shared" si="1"/>
        <v>94.08</v>
      </c>
      <c r="R40" s="74">
        <f t="shared" si="2"/>
        <v>27673.631999999998</v>
      </c>
      <c r="S40" s="75">
        <f t="shared" si="3"/>
        <v>1.0000000722709668</v>
      </c>
      <c r="T40" s="76">
        <f t="shared" si="4"/>
        <v>0</v>
      </c>
      <c r="U40" s="77">
        <f t="shared" si="5"/>
        <v>0</v>
      </c>
      <c r="V40" s="78">
        <f t="shared" si="6"/>
        <v>0</v>
      </c>
    </row>
    <row r="41" spans="2:22" s="5" customFormat="1" ht="16.5" customHeight="1" x14ac:dyDescent="0.35">
      <c r="B41" s="4"/>
      <c r="C41" s="38" t="s">
        <v>157</v>
      </c>
      <c r="D41" s="38" t="s">
        <v>193</v>
      </c>
      <c r="E41" s="39" t="s">
        <v>775</v>
      </c>
      <c r="F41" s="40" t="s">
        <v>776</v>
      </c>
      <c r="G41" s="41" t="s">
        <v>223</v>
      </c>
      <c r="H41" s="42">
        <v>3</v>
      </c>
      <c r="I41" s="42">
        <v>3</v>
      </c>
      <c r="J41" s="43">
        <v>294.14999999999998</v>
      </c>
      <c r="K41" s="44">
        <f t="shared" si="0"/>
        <v>882.45</v>
      </c>
      <c r="L41" s="90">
        <f t="shared" si="7"/>
        <v>882.44999999999993</v>
      </c>
      <c r="M41" s="70">
        <v>3</v>
      </c>
      <c r="N41" s="71">
        <f t="shared" si="8"/>
        <v>882.44999999999993</v>
      </c>
      <c r="O41" s="72"/>
      <c r="P41" s="73">
        <f t="shared" si="9"/>
        <v>0</v>
      </c>
      <c r="Q41" s="70">
        <f t="shared" si="1"/>
        <v>3</v>
      </c>
      <c r="R41" s="74">
        <f t="shared" si="2"/>
        <v>882.44999999999993</v>
      </c>
      <c r="S41" s="75">
        <f t="shared" si="3"/>
        <v>0.99999999999999989</v>
      </c>
      <c r="T41" s="76">
        <f t="shared" si="4"/>
        <v>0</v>
      </c>
      <c r="U41" s="77">
        <f t="shared" si="5"/>
        <v>0</v>
      </c>
      <c r="V41" s="78">
        <f t="shared" si="6"/>
        <v>0</v>
      </c>
    </row>
    <row r="42" spans="2:22" s="5" customFormat="1" ht="24.15" customHeight="1" x14ac:dyDescent="0.35">
      <c r="B42" s="4"/>
      <c r="C42" s="28" t="s">
        <v>159</v>
      </c>
      <c r="D42" s="28" t="s">
        <v>32</v>
      </c>
      <c r="E42" s="29" t="s">
        <v>777</v>
      </c>
      <c r="F42" s="30" t="s">
        <v>778</v>
      </c>
      <c r="G42" s="31" t="s">
        <v>207</v>
      </c>
      <c r="H42" s="32">
        <v>144.56</v>
      </c>
      <c r="I42" s="32">
        <v>144.56</v>
      </c>
      <c r="J42" s="33">
        <v>33.43</v>
      </c>
      <c r="K42" s="34">
        <f t="shared" si="0"/>
        <v>4832.6400000000003</v>
      </c>
      <c r="L42" s="90">
        <f t="shared" si="7"/>
        <v>4832.6408000000001</v>
      </c>
      <c r="M42" s="70">
        <v>0</v>
      </c>
      <c r="N42" s="71">
        <f t="shared" si="8"/>
        <v>0</v>
      </c>
      <c r="O42" s="72">
        <v>144.56</v>
      </c>
      <c r="P42" s="73">
        <f t="shared" si="9"/>
        <v>4832.6408000000001</v>
      </c>
      <c r="Q42" s="70">
        <f t="shared" si="1"/>
        <v>144.56</v>
      </c>
      <c r="R42" s="74">
        <f t="shared" si="2"/>
        <v>4832.6408000000001</v>
      </c>
      <c r="S42" s="75">
        <f t="shared" si="3"/>
        <v>1.0000001655409878</v>
      </c>
      <c r="T42" s="76">
        <f t="shared" si="4"/>
        <v>0</v>
      </c>
      <c r="U42" s="77">
        <f t="shared" si="5"/>
        <v>0</v>
      </c>
      <c r="V42" s="78">
        <f t="shared" si="6"/>
        <v>0</v>
      </c>
    </row>
    <row r="43" spans="2:22" s="5" customFormat="1" ht="16.5" customHeight="1" x14ac:dyDescent="0.35">
      <c r="B43" s="4"/>
      <c r="C43" s="38" t="s">
        <v>161</v>
      </c>
      <c r="D43" s="38" t="s">
        <v>193</v>
      </c>
      <c r="E43" s="39" t="s">
        <v>779</v>
      </c>
      <c r="F43" s="40" t="s">
        <v>780</v>
      </c>
      <c r="G43" s="41" t="s">
        <v>323</v>
      </c>
      <c r="H43" s="42">
        <v>3.6139999999999999</v>
      </c>
      <c r="I43" s="42">
        <v>3.6139999999999999</v>
      </c>
      <c r="J43" s="43">
        <v>187.19</v>
      </c>
      <c r="K43" s="44">
        <f t="shared" si="0"/>
        <v>676.5</v>
      </c>
      <c r="L43" s="90">
        <f t="shared" si="7"/>
        <v>676.50465999999994</v>
      </c>
      <c r="M43" s="70">
        <v>0</v>
      </c>
      <c r="N43" s="71">
        <f t="shared" si="8"/>
        <v>0</v>
      </c>
      <c r="O43" s="72">
        <v>3.6139999999999999</v>
      </c>
      <c r="P43" s="73">
        <f t="shared" si="9"/>
        <v>676.50465999999994</v>
      </c>
      <c r="Q43" s="70">
        <f t="shared" si="1"/>
        <v>3.6139999999999999</v>
      </c>
      <c r="R43" s="74">
        <f t="shared" si="2"/>
        <v>676.50465999999994</v>
      </c>
      <c r="S43" s="75">
        <f t="shared" si="3"/>
        <v>1.0000068883961566</v>
      </c>
      <c r="T43" s="76">
        <f t="shared" si="4"/>
        <v>0</v>
      </c>
      <c r="U43" s="77">
        <f t="shared" si="5"/>
        <v>0</v>
      </c>
      <c r="V43" s="78">
        <f t="shared" si="6"/>
        <v>0</v>
      </c>
    </row>
    <row r="44" spans="2:22" s="23" customFormat="1" ht="26" customHeight="1" x14ac:dyDescent="0.35">
      <c r="B44" s="22"/>
      <c r="D44" s="24" t="s">
        <v>27</v>
      </c>
      <c r="E44" s="25" t="s">
        <v>155</v>
      </c>
      <c r="F44" s="25" t="s">
        <v>781</v>
      </c>
      <c r="J44" s="26"/>
      <c r="K44" s="27">
        <f>SUM(K45:K51)</f>
        <v>85556.039999999979</v>
      </c>
      <c r="L44" s="27">
        <f>SUM(L45:L51)</f>
        <v>85556.04</v>
      </c>
      <c r="N44" s="27">
        <f>SUM(N45:N51)</f>
        <v>24904.350000000002</v>
      </c>
      <c r="P44" s="27">
        <f>SUM(P45:P51)</f>
        <v>60167.67</v>
      </c>
      <c r="R44" s="27">
        <f>SUM(R45:R51)</f>
        <v>85072.020000000019</v>
      </c>
      <c r="U44" s="27">
        <f>SUM(U45:U51)</f>
        <v>484.02000000000004</v>
      </c>
    </row>
    <row r="45" spans="2:22" s="5" customFormat="1" ht="16.5" customHeight="1" x14ac:dyDescent="0.35">
      <c r="B45" s="4"/>
      <c r="C45" s="28" t="s">
        <v>163</v>
      </c>
      <c r="D45" s="28" t="s">
        <v>32</v>
      </c>
      <c r="E45" s="29" t="s">
        <v>782</v>
      </c>
      <c r="F45" s="30" t="s">
        <v>783</v>
      </c>
      <c r="G45" s="31" t="s">
        <v>120</v>
      </c>
      <c r="H45" s="32">
        <v>101</v>
      </c>
      <c r="I45" s="32">
        <v>101</v>
      </c>
      <c r="J45" s="33">
        <v>9.36</v>
      </c>
      <c r="K45" s="34">
        <f t="shared" ref="K45:K51" si="10">ROUND(J45*H45,2)</f>
        <v>945.36</v>
      </c>
      <c r="L45" s="90">
        <f t="shared" si="7"/>
        <v>945.3599999999999</v>
      </c>
      <c r="M45" s="70">
        <v>101</v>
      </c>
      <c r="N45" s="71">
        <f t="shared" si="8"/>
        <v>945.3599999999999</v>
      </c>
      <c r="O45" s="72"/>
      <c r="P45" s="73">
        <f t="shared" si="9"/>
        <v>0</v>
      </c>
      <c r="Q45" s="70">
        <f t="shared" ref="Q45:Q51" si="11">O45+M45</f>
        <v>101</v>
      </c>
      <c r="R45" s="74">
        <f t="shared" ref="R45:R51" si="12">Q45*J45</f>
        <v>945.3599999999999</v>
      </c>
      <c r="S45" s="75">
        <f t="shared" ref="S45:S51" si="13">R45/K45</f>
        <v>0.99999999999999989</v>
      </c>
      <c r="T45" s="76">
        <f t="shared" ref="T45:T51" si="14">H45-Q45</f>
        <v>0</v>
      </c>
      <c r="U45" s="77">
        <f t="shared" ref="U45:U51" si="15">T45*J45</f>
        <v>0</v>
      </c>
      <c r="V45" s="78">
        <f t="shared" ref="V45:V51" si="16">T45/H45</f>
        <v>0</v>
      </c>
    </row>
    <row r="46" spans="2:22" s="5" customFormat="1" ht="16.5" customHeight="1" x14ac:dyDescent="0.35">
      <c r="B46" s="4"/>
      <c r="C46" s="28" t="s">
        <v>166</v>
      </c>
      <c r="D46" s="28" t="s">
        <v>32</v>
      </c>
      <c r="E46" s="29" t="s">
        <v>784</v>
      </c>
      <c r="F46" s="30" t="s">
        <v>785</v>
      </c>
      <c r="G46" s="31" t="s">
        <v>35</v>
      </c>
      <c r="H46" s="32">
        <v>1</v>
      </c>
      <c r="I46" s="32">
        <v>1</v>
      </c>
      <c r="J46" s="33">
        <v>40111.78</v>
      </c>
      <c r="K46" s="34">
        <f t="shared" si="10"/>
        <v>40111.78</v>
      </c>
      <c r="L46" s="90">
        <f t="shared" si="7"/>
        <v>40111.78</v>
      </c>
      <c r="M46" s="70">
        <v>0</v>
      </c>
      <c r="N46" s="71">
        <f t="shared" si="8"/>
        <v>0</v>
      </c>
      <c r="O46" s="72">
        <v>1</v>
      </c>
      <c r="P46" s="73">
        <f t="shared" si="9"/>
        <v>40111.78</v>
      </c>
      <c r="Q46" s="70">
        <f t="shared" si="11"/>
        <v>1</v>
      </c>
      <c r="R46" s="74">
        <f t="shared" si="12"/>
        <v>40111.78</v>
      </c>
      <c r="S46" s="75">
        <f t="shared" si="13"/>
        <v>1</v>
      </c>
      <c r="T46" s="76">
        <f t="shared" si="14"/>
        <v>0</v>
      </c>
      <c r="U46" s="77">
        <f t="shared" si="15"/>
        <v>0</v>
      </c>
      <c r="V46" s="78">
        <f t="shared" si="16"/>
        <v>0</v>
      </c>
    </row>
    <row r="47" spans="2:22" s="5" customFormat="1" ht="16.5" customHeight="1" x14ac:dyDescent="0.35">
      <c r="B47" s="4"/>
      <c r="C47" s="28" t="s">
        <v>169</v>
      </c>
      <c r="D47" s="28" t="s">
        <v>32</v>
      </c>
      <c r="E47" s="29" t="s">
        <v>786</v>
      </c>
      <c r="F47" s="30" t="s">
        <v>787</v>
      </c>
      <c r="G47" s="31" t="s">
        <v>35</v>
      </c>
      <c r="H47" s="32">
        <v>1</v>
      </c>
      <c r="I47" s="32">
        <v>1</v>
      </c>
      <c r="J47" s="33">
        <v>20055.89</v>
      </c>
      <c r="K47" s="34">
        <f t="shared" si="10"/>
        <v>20055.89</v>
      </c>
      <c r="L47" s="90">
        <f t="shared" si="7"/>
        <v>20055.89</v>
      </c>
      <c r="M47" s="70">
        <v>0</v>
      </c>
      <c r="N47" s="71">
        <f t="shared" si="8"/>
        <v>0</v>
      </c>
      <c r="O47" s="72">
        <v>1</v>
      </c>
      <c r="P47" s="73">
        <f t="shared" si="9"/>
        <v>20055.89</v>
      </c>
      <c r="Q47" s="70">
        <f t="shared" si="11"/>
        <v>1</v>
      </c>
      <c r="R47" s="74">
        <f t="shared" si="12"/>
        <v>20055.89</v>
      </c>
      <c r="S47" s="75">
        <f t="shared" si="13"/>
        <v>1</v>
      </c>
      <c r="T47" s="76">
        <f t="shared" si="14"/>
        <v>0</v>
      </c>
      <c r="U47" s="77">
        <f t="shared" si="15"/>
        <v>0</v>
      </c>
      <c r="V47" s="78">
        <f t="shared" si="16"/>
        <v>0</v>
      </c>
    </row>
    <row r="48" spans="2:22" s="5" customFormat="1" ht="16.5" customHeight="1" x14ac:dyDescent="0.35">
      <c r="B48" s="4"/>
      <c r="C48" s="28" t="s">
        <v>170</v>
      </c>
      <c r="D48" s="28" t="s">
        <v>32</v>
      </c>
      <c r="E48" s="29" t="s">
        <v>788</v>
      </c>
      <c r="F48" s="30" t="s">
        <v>789</v>
      </c>
      <c r="G48" s="31" t="s">
        <v>120</v>
      </c>
      <c r="H48" s="32">
        <v>101</v>
      </c>
      <c r="I48" s="32">
        <v>101</v>
      </c>
      <c r="J48" s="33">
        <v>133.71</v>
      </c>
      <c r="K48" s="34">
        <f t="shared" si="10"/>
        <v>13504.71</v>
      </c>
      <c r="L48" s="90">
        <f t="shared" si="7"/>
        <v>13504.710000000001</v>
      </c>
      <c r="M48" s="70">
        <v>99</v>
      </c>
      <c r="N48" s="71">
        <f t="shared" si="8"/>
        <v>13237.29</v>
      </c>
      <c r="O48" s="72"/>
      <c r="P48" s="73">
        <f t="shared" si="9"/>
        <v>0</v>
      </c>
      <c r="Q48" s="70">
        <f t="shared" si="11"/>
        <v>99</v>
      </c>
      <c r="R48" s="74">
        <f t="shared" si="12"/>
        <v>13237.29</v>
      </c>
      <c r="S48" s="75">
        <f t="shared" si="13"/>
        <v>0.98019801980198029</v>
      </c>
      <c r="T48" s="76">
        <f t="shared" si="14"/>
        <v>2</v>
      </c>
      <c r="U48" s="77">
        <f t="shared" si="15"/>
        <v>267.42</v>
      </c>
      <c r="V48" s="78">
        <f t="shared" si="16"/>
        <v>1.9801980198019802E-2</v>
      </c>
    </row>
    <row r="49" spans="2:22" s="5" customFormat="1" ht="16.5" customHeight="1" x14ac:dyDescent="0.35">
      <c r="B49" s="4"/>
      <c r="C49" s="38" t="s">
        <v>171</v>
      </c>
      <c r="D49" s="38" t="s">
        <v>193</v>
      </c>
      <c r="E49" s="39" t="s">
        <v>790</v>
      </c>
      <c r="F49" s="40" t="s">
        <v>156</v>
      </c>
      <c r="G49" s="41" t="s">
        <v>120</v>
      </c>
      <c r="H49" s="42">
        <v>101</v>
      </c>
      <c r="I49" s="42">
        <v>101</v>
      </c>
      <c r="J49" s="43">
        <v>21.39</v>
      </c>
      <c r="K49" s="44">
        <f t="shared" si="10"/>
        <v>2160.39</v>
      </c>
      <c r="L49" s="90">
        <f t="shared" si="7"/>
        <v>2160.39</v>
      </c>
      <c r="M49" s="70">
        <v>99</v>
      </c>
      <c r="N49" s="71">
        <f t="shared" si="8"/>
        <v>2117.61</v>
      </c>
      <c r="O49" s="72"/>
      <c r="P49" s="73">
        <f t="shared" si="9"/>
        <v>0</v>
      </c>
      <c r="Q49" s="70">
        <f t="shared" si="11"/>
        <v>99</v>
      </c>
      <c r="R49" s="74">
        <f t="shared" si="12"/>
        <v>2117.61</v>
      </c>
      <c r="S49" s="75">
        <f t="shared" si="13"/>
        <v>0.98019801980198029</v>
      </c>
      <c r="T49" s="76">
        <f t="shared" si="14"/>
        <v>2</v>
      </c>
      <c r="U49" s="77">
        <f t="shared" si="15"/>
        <v>42.78</v>
      </c>
      <c r="V49" s="78">
        <f t="shared" si="16"/>
        <v>1.9801980198019802E-2</v>
      </c>
    </row>
    <row r="50" spans="2:22" s="5" customFormat="1" ht="16.5" customHeight="1" x14ac:dyDescent="0.35">
      <c r="B50" s="4"/>
      <c r="C50" s="28" t="s">
        <v>172</v>
      </c>
      <c r="D50" s="28" t="s">
        <v>32</v>
      </c>
      <c r="E50" s="29" t="s">
        <v>791</v>
      </c>
      <c r="F50" s="30" t="s">
        <v>792</v>
      </c>
      <c r="G50" s="31" t="s">
        <v>120</v>
      </c>
      <c r="H50" s="32">
        <v>101</v>
      </c>
      <c r="I50" s="32">
        <v>101</v>
      </c>
      <c r="J50" s="33">
        <v>33.43</v>
      </c>
      <c r="K50" s="34">
        <f t="shared" si="10"/>
        <v>3376.43</v>
      </c>
      <c r="L50" s="90">
        <f t="shared" si="7"/>
        <v>3376.43</v>
      </c>
      <c r="M50" s="70">
        <v>99</v>
      </c>
      <c r="N50" s="71">
        <f t="shared" si="8"/>
        <v>3309.57</v>
      </c>
      <c r="O50" s="72"/>
      <c r="P50" s="73">
        <f t="shared" si="9"/>
        <v>0</v>
      </c>
      <c r="Q50" s="70">
        <f t="shared" si="11"/>
        <v>99</v>
      </c>
      <c r="R50" s="74">
        <f t="shared" si="12"/>
        <v>3309.57</v>
      </c>
      <c r="S50" s="75">
        <f t="shared" si="13"/>
        <v>0.98019801980198029</v>
      </c>
      <c r="T50" s="76">
        <f t="shared" si="14"/>
        <v>2</v>
      </c>
      <c r="U50" s="77">
        <f t="shared" si="15"/>
        <v>66.86</v>
      </c>
      <c r="V50" s="78">
        <f t="shared" si="16"/>
        <v>1.9801980198019802E-2</v>
      </c>
    </row>
    <row r="51" spans="2:22" s="5" customFormat="1" ht="24.15" customHeight="1" x14ac:dyDescent="0.35">
      <c r="B51" s="4"/>
      <c r="C51" s="38" t="s">
        <v>173</v>
      </c>
      <c r="D51" s="38" t="s">
        <v>193</v>
      </c>
      <c r="E51" s="39" t="s">
        <v>793</v>
      </c>
      <c r="F51" s="40" t="s">
        <v>794</v>
      </c>
      <c r="G51" s="41" t="s">
        <v>120</v>
      </c>
      <c r="H51" s="42">
        <v>101</v>
      </c>
      <c r="I51" s="42">
        <v>101</v>
      </c>
      <c r="J51" s="43">
        <v>53.48</v>
      </c>
      <c r="K51" s="44">
        <f t="shared" si="10"/>
        <v>5401.48</v>
      </c>
      <c r="L51" s="90">
        <f t="shared" si="7"/>
        <v>5401.48</v>
      </c>
      <c r="M51" s="70">
        <v>99</v>
      </c>
      <c r="N51" s="71">
        <f t="shared" si="8"/>
        <v>5294.5199999999995</v>
      </c>
      <c r="O51" s="72"/>
      <c r="P51" s="73">
        <f t="shared" si="9"/>
        <v>0</v>
      </c>
      <c r="Q51" s="70">
        <f t="shared" si="11"/>
        <v>99</v>
      </c>
      <c r="R51" s="74">
        <f t="shared" si="12"/>
        <v>5294.5199999999995</v>
      </c>
      <c r="S51" s="75">
        <f t="shared" si="13"/>
        <v>0.98019801980198018</v>
      </c>
      <c r="T51" s="76">
        <f t="shared" si="14"/>
        <v>2</v>
      </c>
      <c r="U51" s="77">
        <f t="shared" si="15"/>
        <v>106.96</v>
      </c>
      <c r="V51" s="78">
        <f t="shared" si="16"/>
        <v>1.9801980198019802E-2</v>
      </c>
    </row>
    <row r="52" spans="2:22" s="23" customFormat="1" ht="26" customHeight="1" x14ac:dyDescent="0.35">
      <c r="B52" s="22"/>
      <c r="D52" s="24" t="s">
        <v>27</v>
      </c>
      <c r="E52" s="25" t="s">
        <v>371</v>
      </c>
      <c r="F52" s="25" t="s">
        <v>795</v>
      </c>
      <c r="J52" s="26"/>
      <c r="K52" s="27">
        <f>SUM(K53:K54)</f>
        <v>21392.959999999999</v>
      </c>
      <c r="L52" s="27">
        <f>SUM(L53:L54)</f>
        <v>21392.956000000002</v>
      </c>
      <c r="N52" s="27">
        <f>SUM(N53:N54)</f>
        <v>21392.956000000002</v>
      </c>
      <c r="P52" s="27">
        <f>SUM(P53:P54)</f>
        <v>0</v>
      </c>
      <c r="R52" s="27">
        <f>SUM(R53:R54)</f>
        <v>21392.956000000002</v>
      </c>
      <c r="U52" s="27">
        <f>SUM(U53:U54)</f>
        <v>0</v>
      </c>
    </row>
    <row r="53" spans="2:22" s="5" customFormat="1" ht="16.5" customHeight="1" x14ac:dyDescent="0.35">
      <c r="B53" s="4"/>
      <c r="C53" s="28" t="s">
        <v>178</v>
      </c>
      <c r="D53" s="28" t="s">
        <v>32</v>
      </c>
      <c r="E53" s="29" t="s">
        <v>796</v>
      </c>
      <c r="F53" s="30" t="s">
        <v>797</v>
      </c>
      <c r="G53" s="31" t="s">
        <v>214</v>
      </c>
      <c r="H53" s="32">
        <v>12.4</v>
      </c>
      <c r="I53" s="32">
        <v>12.4</v>
      </c>
      <c r="J53" s="33">
        <v>1136.5</v>
      </c>
      <c r="K53" s="34">
        <f>ROUND(J53*H53,2)</f>
        <v>14092.6</v>
      </c>
      <c r="L53" s="90">
        <f t="shared" si="7"/>
        <v>14092.6</v>
      </c>
      <c r="M53" s="70">
        <v>12.4</v>
      </c>
      <c r="N53" s="71">
        <f t="shared" si="8"/>
        <v>14092.6</v>
      </c>
      <c r="O53" s="72"/>
      <c r="P53" s="73">
        <f t="shared" si="9"/>
        <v>0</v>
      </c>
      <c r="Q53" s="70">
        <f>O53+M53</f>
        <v>12.4</v>
      </c>
      <c r="R53" s="74">
        <f>Q53*J53</f>
        <v>14092.6</v>
      </c>
      <c r="S53" s="75">
        <f>R53/K53</f>
        <v>1</v>
      </c>
      <c r="T53" s="76">
        <f>H53-Q53</f>
        <v>0</v>
      </c>
      <c r="U53" s="77">
        <f>T53*J53</f>
        <v>0</v>
      </c>
      <c r="V53" s="78">
        <f>T53/H53</f>
        <v>0</v>
      </c>
    </row>
    <row r="54" spans="2:22" s="5" customFormat="1" ht="33" customHeight="1" x14ac:dyDescent="0.35">
      <c r="B54" s="4"/>
      <c r="C54" s="28" t="s">
        <v>181</v>
      </c>
      <c r="D54" s="28" t="s">
        <v>32</v>
      </c>
      <c r="E54" s="29" t="s">
        <v>798</v>
      </c>
      <c r="F54" s="30" t="s">
        <v>799</v>
      </c>
      <c r="G54" s="31" t="s">
        <v>214</v>
      </c>
      <c r="H54" s="32">
        <v>4.2</v>
      </c>
      <c r="I54" s="32">
        <v>4.2</v>
      </c>
      <c r="J54" s="33">
        <v>1738.18</v>
      </c>
      <c r="K54" s="34">
        <f>ROUND(J54*H54,2)</f>
        <v>7300.36</v>
      </c>
      <c r="L54" s="90">
        <f t="shared" si="7"/>
        <v>7300.3560000000007</v>
      </c>
      <c r="M54" s="70">
        <v>4.2</v>
      </c>
      <c r="N54" s="71">
        <f t="shared" si="8"/>
        <v>7300.3560000000007</v>
      </c>
      <c r="O54" s="72"/>
      <c r="P54" s="73">
        <f t="shared" si="9"/>
        <v>0</v>
      </c>
      <c r="Q54" s="70">
        <f>O54+M54</f>
        <v>4.2</v>
      </c>
      <c r="R54" s="74">
        <f>Q54*J54</f>
        <v>7300.3560000000007</v>
      </c>
      <c r="S54" s="75">
        <f>R54/K54</f>
        <v>0.99999945208181529</v>
      </c>
      <c r="T54" s="76">
        <f>H54-Q54</f>
        <v>0</v>
      </c>
      <c r="U54" s="77">
        <f>T54*J54</f>
        <v>0</v>
      </c>
      <c r="V54" s="78">
        <f>T54/H54</f>
        <v>0</v>
      </c>
    </row>
    <row r="55" spans="2:22" s="23" customFormat="1" ht="26" customHeight="1" x14ac:dyDescent="0.35">
      <c r="B55" s="22"/>
      <c r="D55" s="24" t="s">
        <v>27</v>
      </c>
      <c r="E55" s="25" t="s">
        <v>374</v>
      </c>
      <c r="F55" s="25" t="s">
        <v>800</v>
      </c>
      <c r="J55" s="26"/>
      <c r="K55" s="27">
        <f>SUM(K56)</f>
        <v>2133.94</v>
      </c>
      <c r="L55" s="27">
        <f>SUM(L56)</f>
        <v>2133.9360000000001</v>
      </c>
      <c r="N55" s="27">
        <f>SUM(N56)</f>
        <v>2133.9360000000001</v>
      </c>
      <c r="P55" s="27">
        <f>SUM(P56)</f>
        <v>0</v>
      </c>
      <c r="R55" s="27">
        <f>SUM(R56)</f>
        <v>2133.9360000000001</v>
      </c>
      <c r="U55" s="27">
        <f>SUM(U56)</f>
        <v>0</v>
      </c>
    </row>
    <row r="56" spans="2:22" s="5" customFormat="1" ht="16.5" customHeight="1" x14ac:dyDescent="0.35">
      <c r="B56" s="4"/>
      <c r="C56" s="28" t="s">
        <v>184</v>
      </c>
      <c r="D56" s="28" t="s">
        <v>32</v>
      </c>
      <c r="E56" s="29" t="s">
        <v>801</v>
      </c>
      <c r="F56" s="30" t="s">
        <v>802</v>
      </c>
      <c r="G56" s="31" t="s">
        <v>207</v>
      </c>
      <c r="H56" s="32">
        <v>8.4</v>
      </c>
      <c r="I56" s="32">
        <v>8.4</v>
      </c>
      <c r="J56" s="33">
        <v>254.04</v>
      </c>
      <c r="K56" s="34">
        <f>ROUND(J56*H56,2)</f>
        <v>2133.94</v>
      </c>
      <c r="L56" s="90">
        <f t="shared" si="7"/>
        <v>2133.9360000000001</v>
      </c>
      <c r="M56" s="70">
        <v>8.4</v>
      </c>
      <c r="N56" s="71">
        <f t="shared" si="8"/>
        <v>2133.9360000000001</v>
      </c>
      <c r="O56" s="72"/>
      <c r="P56" s="73">
        <f t="shared" si="9"/>
        <v>0</v>
      </c>
      <c r="Q56" s="70">
        <f>O56+M56</f>
        <v>8.4</v>
      </c>
      <c r="R56" s="74">
        <f>Q56*J56</f>
        <v>2133.9360000000001</v>
      </c>
      <c r="S56" s="75">
        <f>R56/K56</f>
        <v>0.99999812553305156</v>
      </c>
      <c r="T56" s="76">
        <f>H56-Q56</f>
        <v>0</v>
      </c>
      <c r="U56" s="77">
        <f>T56*J56</f>
        <v>0</v>
      </c>
      <c r="V56" s="78">
        <f>T56/H56</f>
        <v>0</v>
      </c>
    </row>
    <row r="57" spans="2:22" s="23" customFormat="1" ht="26" customHeight="1" x14ac:dyDescent="0.35">
      <c r="B57" s="22"/>
      <c r="D57" s="24" t="s">
        <v>27</v>
      </c>
      <c r="E57" s="25" t="s">
        <v>450</v>
      </c>
      <c r="F57" s="25" t="s">
        <v>803</v>
      </c>
      <c r="J57" s="26"/>
      <c r="K57" s="27">
        <f>SUM(K58:K63)</f>
        <v>92361.360000000015</v>
      </c>
      <c r="L57" s="27">
        <f>SUM(L58:L63)</f>
        <v>92361.359599999996</v>
      </c>
      <c r="N57" s="27">
        <f>SUM(N58:N63)</f>
        <v>92361.359599999996</v>
      </c>
      <c r="P57" s="27">
        <f>SUM(P58:P63)</f>
        <v>0</v>
      </c>
      <c r="R57" s="27">
        <f>SUM(R58:R63)</f>
        <v>92361.359599999996</v>
      </c>
      <c r="U57" s="27">
        <f>SUM(U58:U63)</f>
        <v>0</v>
      </c>
    </row>
    <row r="58" spans="2:22" s="5" customFormat="1" ht="24.15" customHeight="1" x14ac:dyDescent="0.35">
      <c r="B58" s="4"/>
      <c r="C58" s="28" t="s">
        <v>195</v>
      </c>
      <c r="D58" s="28" t="s">
        <v>32</v>
      </c>
      <c r="E58" s="29" t="s">
        <v>804</v>
      </c>
      <c r="F58" s="30" t="s">
        <v>805</v>
      </c>
      <c r="G58" s="31" t="s">
        <v>120</v>
      </c>
      <c r="H58" s="32">
        <v>5</v>
      </c>
      <c r="I58" s="32">
        <v>5</v>
      </c>
      <c r="J58" s="33">
        <v>334.26</v>
      </c>
      <c r="K58" s="34">
        <f t="shared" ref="K58:K63" si="17">ROUND(J58*H58,2)</f>
        <v>1671.3</v>
      </c>
      <c r="L58" s="90">
        <f t="shared" si="7"/>
        <v>1671.3</v>
      </c>
      <c r="M58" s="70">
        <v>5</v>
      </c>
      <c r="N58" s="71">
        <f t="shared" si="8"/>
        <v>1671.3</v>
      </c>
      <c r="O58" s="72"/>
      <c r="P58" s="73">
        <f t="shared" si="9"/>
        <v>0</v>
      </c>
      <c r="Q58" s="70">
        <f t="shared" ref="Q58:Q63" si="18">O58+M58</f>
        <v>5</v>
      </c>
      <c r="R58" s="74">
        <f t="shared" ref="R58:R63" si="19">Q58*J58</f>
        <v>1671.3</v>
      </c>
      <c r="S58" s="75">
        <f t="shared" ref="S58:S63" si="20">R58/K58</f>
        <v>1</v>
      </c>
      <c r="T58" s="76">
        <f t="shared" ref="T58:T63" si="21">H58-Q58</f>
        <v>0</v>
      </c>
      <c r="U58" s="77">
        <f t="shared" ref="U58:U63" si="22">T58*J58</f>
        <v>0</v>
      </c>
      <c r="V58" s="78">
        <f t="shared" ref="V58:V63" si="23">T58/H58</f>
        <v>0</v>
      </c>
    </row>
    <row r="59" spans="2:22" s="5" customFormat="1" ht="24.15" customHeight="1" x14ac:dyDescent="0.35">
      <c r="B59" s="4"/>
      <c r="C59" s="38" t="s">
        <v>198</v>
      </c>
      <c r="D59" s="38" t="s">
        <v>193</v>
      </c>
      <c r="E59" s="39" t="s">
        <v>806</v>
      </c>
      <c r="F59" s="40" t="s">
        <v>807</v>
      </c>
      <c r="G59" s="41" t="s">
        <v>120</v>
      </c>
      <c r="H59" s="42">
        <v>5.15</v>
      </c>
      <c r="I59" s="42">
        <v>5.15</v>
      </c>
      <c r="J59" s="43">
        <v>35.979999999999997</v>
      </c>
      <c r="K59" s="44">
        <f t="shared" si="17"/>
        <v>185.3</v>
      </c>
      <c r="L59" s="90">
        <f t="shared" si="7"/>
        <v>185.297</v>
      </c>
      <c r="M59" s="70">
        <v>5.15</v>
      </c>
      <c r="N59" s="71">
        <f t="shared" si="8"/>
        <v>185.297</v>
      </c>
      <c r="O59" s="72"/>
      <c r="P59" s="73">
        <f t="shared" si="9"/>
        <v>0</v>
      </c>
      <c r="Q59" s="70">
        <f t="shared" si="18"/>
        <v>5.15</v>
      </c>
      <c r="R59" s="74">
        <f t="shared" si="19"/>
        <v>185.297</v>
      </c>
      <c r="S59" s="75">
        <f t="shared" si="20"/>
        <v>0.99998381003777648</v>
      </c>
      <c r="T59" s="76">
        <f t="shared" si="21"/>
        <v>0</v>
      </c>
      <c r="U59" s="77">
        <f t="shared" si="22"/>
        <v>0</v>
      </c>
      <c r="V59" s="78">
        <f t="shared" si="23"/>
        <v>0</v>
      </c>
    </row>
    <row r="60" spans="2:22" s="5" customFormat="1" ht="24.15" customHeight="1" x14ac:dyDescent="0.35">
      <c r="B60" s="4"/>
      <c r="C60" s="28" t="s">
        <v>351</v>
      </c>
      <c r="D60" s="28" t="s">
        <v>32</v>
      </c>
      <c r="E60" s="29" t="s">
        <v>808</v>
      </c>
      <c r="F60" s="30" t="s">
        <v>809</v>
      </c>
      <c r="G60" s="31" t="s">
        <v>120</v>
      </c>
      <c r="H60" s="32">
        <v>77</v>
      </c>
      <c r="I60" s="32">
        <v>77</v>
      </c>
      <c r="J60" s="33">
        <v>187.19</v>
      </c>
      <c r="K60" s="34">
        <f t="shared" si="17"/>
        <v>14413.63</v>
      </c>
      <c r="L60" s="90">
        <f t="shared" si="7"/>
        <v>14413.63</v>
      </c>
      <c r="M60" s="70">
        <v>77</v>
      </c>
      <c r="N60" s="71">
        <f t="shared" si="8"/>
        <v>14413.63</v>
      </c>
      <c r="O60" s="72"/>
      <c r="P60" s="73">
        <f t="shared" si="9"/>
        <v>0</v>
      </c>
      <c r="Q60" s="70">
        <f t="shared" si="18"/>
        <v>77</v>
      </c>
      <c r="R60" s="74">
        <f t="shared" si="19"/>
        <v>14413.63</v>
      </c>
      <c r="S60" s="75">
        <f t="shared" si="20"/>
        <v>1</v>
      </c>
      <c r="T60" s="76">
        <f t="shared" si="21"/>
        <v>0</v>
      </c>
      <c r="U60" s="77">
        <f t="shared" si="22"/>
        <v>0</v>
      </c>
      <c r="V60" s="78">
        <f t="shared" si="23"/>
        <v>0</v>
      </c>
    </row>
    <row r="61" spans="2:22" s="5" customFormat="1" ht="24.15" customHeight="1" x14ac:dyDescent="0.35">
      <c r="B61" s="4"/>
      <c r="C61" s="38" t="s">
        <v>354</v>
      </c>
      <c r="D61" s="38" t="s">
        <v>193</v>
      </c>
      <c r="E61" s="39" t="s">
        <v>810</v>
      </c>
      <c r="F61" s="40" t="s">
        <v>811</v>
      </c>
      <c r="G61" s="41" t="s">
        <v>120</v>
      </c>
      <c r="H61" s="42">
        <v>79.31</v>
      </c>
      <c r="I61" s="42">
        <v>79.31</v>
      </c>
      <c r="J61" s="43">
        <v>476.26</v>
      </c>
      <c r="K61" s="44">
        <f t="shared" si="17"/>
        <v>37772.18</v>
      </c>
      <c r="L61" s="90">
        <f t="shared" si="7"/>
        <v>37772.1806</v>
      </c>
      <c r="M61" s="70">
        <v>79.31</v>
      </c>
      <c r="N61" s="71">
        <f t="shared" si="8"/>
        <v>37772.1806</v>
      </c>
      <c r="O61" s="72"/>
      <c r="P61" s="73">
        <f t="shared" si="9"/>
        <v>0</v>
      </c>
      <c r="Q61" s="70">
        <f t="shared" si="18"/>
        <v>79.31</v>
      </c>
      <c r="R61" s="74">
        <f t="shared" si="19"/>
        <v>37772.1806</v>
      </c>
      <c r="S61" s="75">
        <f t="shared" si="20"/>
        <v>1.0000000158847067</v>
      </c>
      <c r="T61" s="76">
        <f t="shared" si="21"/>
        <v>0</v>
      </c>
      <c r="U61" s="77">
        <f t="shared" si="22"/>
        <v>0</v>
      </c>
      <c r="V61" s="78">
        <f t="shared" si="23"/>
        <v>0</v>
      </c>
    </row>
    <row r="62" spans="2:22" s="5" customFormat="1" ht="24.15" customHeight="1" x14ac:dyDescent="0.35">
      <c r="B62" s="4"/>
      <c r="C62" s="28" t="s">
        <v>359</v>
      </c>
      <c r="D62" s="28" t="s">
        <v>32</v>
      </c>
      <c r="E62" s="29" t="s">
        <v>812</v>
      </c>
      <c r="F62" s="30" t="s">
        <v>813</v>
      </c>
      <c r="G62" s="31" t="s">
        <v>120</v>
      </c>
      <c r="H62" s="32">
        <v>35</v>
      </c>
      <c r="I62" s="32">
        <v>35</v>
      </c>
      <c r="J62" s="33">
        <v>213.93</v>
      </c>
      <c r="K62" s="34">
        <f t="shared" si="17"/>
        <v>7487.55</v>
      </c>
      <c r="L62" s="90">
        <f t="shared" si="7"/>
        <v>7487.55</v>
      </c>
      <c r="M62" s="70">
        <v>35</v>
      </c>
      <c r="N62" s="71">
        <f t="shared" si="8"/>
        <v>7487.55</v>
      </c>
      <c r="O62" s="72"/>
      <c r="P62" s="73">
        <f t="shared" si="9"/>
        <v>0</v>
      </c>
      <c r="Q62" s="70">
        <f t="shared" si="18"/>
        <v>35</v>
      </c>
      <c r="R62" s="74">
        <f t="shared" si="19"/>
        <v>7487.55</v>
      </c>
      <c r="S62" s="75">
        <f t="shared" si="20"/>
        <v>1</v>
      </c>
      <c r="T62" s="76">
        <f t="shared" si="21"/>
        <v>0</v>
      </c>
      <c r="U62" s="77">
        <f t="shared" si="22"/>
        <v>0</v>
      </c>
      <c r="V62" s="78">
        <f t="shared" si="23"/>
        <v>0</v>
      </c>
    </row>
    <row r="63" spans="2:22" s="5" customFormat="1" ht="24.15" customHeight="1" x14ac:dyDescent="0.35">
      <c r="B63" s="4"/>
      <c r="C63" s="38" t="s">
        <v>362</v>
      </c>
      <c r="D63" s="38" t="s">
        <v>193</v>
      </c>
      <c r="E63" s="39" t="s">
        <v>814</v>
      </c>
      <c r="F63" s="40" t="s">
        <v>815</v>
      </c>
      <c r="G63" s="41" t="s">
        <v>120</v>
      </c>
      <c r="H63" s="42">
        <v>36.049999999999997</v>
      </c>
      <c r="I63" s="42">
        <v>36.049999999999997</v>
      </c>
      <c r="J63" s="43">
        <v>855.24</v>
      </c>
      <c r="K63" s="44">
        <f t="shared" si="17"/>
        <v>30831.4</v>
      </c>
      <c r="L63" s="90">
        <f t="shared" si="7"/>
        <v>30831.401999999998</v>
      </c>
      <c r="M63" s="70">
        <v>36.049999999999997</v>
      </c>
      <c r="N63" s="71">
        <f t="shared" si="8"/>
        <v>30831.401999999998</v>
      </c>
      <c r="O63" s="72"/>
      <c r="P63" s="73">
        <f t="shared" si="9"/>
        <v>0</v>
      </c>
      <c r="Q63" s="70">
        <f t="shared" si="18"/>
        <v>36.049999999999997</v>
      </c>
      <c r="R63" s="74">
        <f t="shared" si="19"/>
        <v>30831.401999999998</v>
      </c>
      <c r="S63" s="75">
        <f t="shared" si="20"/>
        <v>1.0000000648689322</v>
      </c>
      <c r="T63" s="76">
        <f t="shared" si="21"/>
        <v>0</v>
      </c>
      <c r="U63" s="77">
        <f t="shared" si="22"/>
        <v>0</v>
      </c>
      <c r="V63" s="78">
        <f t="shared" si="23"/>
        <v>0</v>
      </c>
    </row>
    <row r="64" spans="2:22" s="23" customFormat="1" ht="26" customHeight="1" x14ac:dyDescent="0.35">
      <c r="B64" s="22"/>
      <c r="D64" s="24" t="s">
        <v>27</v>
      </c>
      <c r="E64" s="25" t="s">
        <v>452</v>
      </c>
      <c r="F64" s="25" t="s">
        <v>816</v>
      </c>
      <c r="J64" s="26"/>
      <c r="K64" s="27">
        <f>SUM(K65:K86)</f>
        <v>220240.73000000004</v>
      </c>
      <c r="L64" s="27">
        <f>SUM(L65:L86)</f>
        <v>220240.73000000004</v>
      </c>
      <c r="N64" s="27">
        <f>SUM(N65:N86)</f>
        <v>206308.60000000003</v>
      </c>
      <c r="P64" s="27">
        <f>SUM(P65:P86)</f>
        <v>13932.13</v>
      </c>
      <c r="R64" s="27">
        <f>SUM(R65:R86)</f>
        <v>220240.73000000004</v>
      </c>
      <c r="U64" s="27">
        <f>SUM(U65:U86)</f>
        <v>0</v>
      </c>
    </row>
    <row r="65" spans="2:22" s="5" customFormat="1" ht="24.15" customHeight="1" x14ac:dyDescent="0.35">
      <c r="B65" s="4"/>
      <c r="C65" s="28" t="s">
        <v>367</v>
      </c>
      <c r="D65" s="28" t="s">
        <v>32</v>
      </c>
      <c r="E65" s="29" t="s">
        <v>817</v>
      </c>
      <c r="F65" s="30" t="s">
        <v>818</v>
      </c>
      <c r="G65" s="31" t="s">
        <v>272</v>
      </c>
      <c r="H65" s="32">
        <v>1</v>
      </c>
      <c r="I65" s="32">
        <v>1</v>
      </c>
      <c r="J65" s="33">
        <v>601.67999999999995</v>
      </c>
      <c r="K65" s="34">
        <f t="shared" ref="K65:K86" si="24">ROUND(J65*H65,2)</f>
        <v>601.67999999999995</v>
      </c>
      <c r="L65" s="90">
        <f t="shared" si="7"/>
        <v>601.67999999999995</v>
      </c>
      <c r="M65" s="70">
        <v>1</v>
      </c>
      <c r="N65" s="71">
        <f t="shared" si="8"/>
        <v>601.67999999999995</v>
      </c>
      <c r="O65" s="72"/>
      <c r="P65" s="73">
        <f t="shared" si="9"/>
        <v>0</v>
      </c>
      <c r="Q65" s="70">
        <f t="shared" ref="Q65:Q86" si="25">O65+M65</f>
        <v>1</v>
      </c>
      <c r="R65" s="74">
        <f t="shared" ref="R65:R86" si="26">Q65*J65</f>
        <v>601.67999999999995</v>
      </c>
      <c r="S65" s="75">
        <f t="shared" ref="S65:S86" si="27">R65/K65</f>
        <v>1</v>
      </c>
      <c r="T65" s="76">
        <f t="shared" ref="T65:T86" si="28">H65-Q65</f>
        <v>0</v>
      </c>
      <c r="U65" s="77">
        <f t="shared" ref="U65:U86" si="29">T65*J65</f>
        <v>0</v>
      </c>
      <c r="V65" s="78">
        <f t="shared" ref="V65:V86" si="30">T65/H65</f>
        <v>0</v>
      </c>
    </row>
    <row r="66" spans="2:22" s="5" customFormat="1" ht="16.5" customHeight="1" x14ac:dyDescent="0.35">
      <c r="B66" s="4"/>
      <c r="C66" s="38" t="s">
        <v>368</v>
      </c>
      <c r="D66" s="38" t="s">
        <v>193</v>
      </c>
      <c r="E66" s="39" t="s">
        <v>819</v>
      </c>
      <c r="F66" s="40" t="s">
        <v>820</v>
      </c>
      <c r="G66" s="41" t="s">
        <v>272</v>
      </c>
      <c r="H66" s="42">
        <v>1</v>
      </c>
      <c r="I66" s="42">
        <v>1</v>
      </c>
      <c r="J66" s="43">
        <v>3342.65</v>
      </c>
      <c r="K66" s="44">
        <f t="shared" si="24"/>
        <v>3342.65</v>
      </c>
      <c r="L66" s="90">
        <f t="shared" si="7"/>
        <v>3342.65</v>
      </c>
      <c r="M66" s="70">
        <v>1</v>
      </c>
      <c r="N66" s="71">
        <f t="shared" si="8"/>
        <v>3342.65</v>
      </c>
      <c r="O66" s="72"/>
      <c r="P66" s="73">
        <f t="shared" si="9"/>
        <v>0</v>
      </c>
      <c r="Q66" s="70">
        <f t="shared" si="25"/>
        <v>1</v>
      </c>
      <c r="R66" s="74">
        <f t="shared" si="26"/>
        <v>3342.65</v>
      </c>
      <c r="S66" s="75">
        <f t="shared" si="27"/>
        <v>1</v>
      </c>
      <c r="T66" s="76">
        <f t="shared" si="28"/>
        <v>0</v>
      </c>
      <c r="U66" s="77">
        <f t="shared" si="29"/>
        <v>0</v>
      </c>
      <c r="V66" s="78">
        <f t="shared" si="30"/>
        <v>0</v>
      </c>
    </row>
    <row r="67" spans="2:22" s="5" customFormat="1" ht="24.15" customHeight="1" x14ac:dyDescent="0.35">
      <c r="B67" s="4"/>
      <c r="C67" s="28" t="s">
        <v>371</v>
      </c>
      <c r="D67" s="28" t="s">
        <v>32</v>
      </c>
      <c r="E67" s="29" t="s">
        <v>821</v>
      </c>
      <c r="F67" s="30" t="s">
        <v>822</v>
      </c>
      <c r="G67" s="31" t="s">
        <v>272</v>
      </c>
      <c r="H67" s="32">
        <v>2</v>
      </c>
      <c r="I67" s="32">
        <v>2</v>
      </c>
      <c r="J67" s="33">
        <v>601.67999999999995</v>
      </c>
      <c r="K67" s="34">
        <f t="shared" si="24"/>
        <v>1203.3599999999999</v>
      </c>
      <c r="L67" s="90">
        <f t="shared" si="7"/>
        <v>1203.3599999999999</v>
      </c>
      <c r="M67" s="70">
        <v>2</v>
      </c>
      <c r="N67" s="71">
        <f t="shared" si="8"/>
        <v>1203.3599999999999</v>
      </c>
      <c r="O67" s="72"/>
      <c r="P67" s="73">
        <f t="shared" si="9"/>
        <v>0</v>
      </c>
      <c r="Q67" s="70">
        <f t="shared" si="25"/>
        <v>2</v>
      </c>
      <c r="R67" s="74">
        <f t="shared" si="26"/>
        <v>1203.3599999999999</v>
      </c>
      <c r="S67" s="75">
        <f t="shared" si="27"/>
        <v>1</v>
      </c>
      <c r="T67" s="76">
        <f t="shared" si="28"/>
        <v>0</v>
      </c>
      <c r="U67" s="77">
        <f t="shared" si="29"/>
        <v>0</v>
      </c>
      <c r="V67" s="78">
        <f t="shared" si="30"/>
        <v>0</v>
      </c>
    </row>
    <row r="68" spans="2:22" s="5" customFormat="1" ht="16.5" customHeight="1" x14ac:dyDescent="0.35">
      <c r="B68" s="4"/>
      <c r="C68" s="38" t="s">
        <v>374</v>
      </c>
      <c r="D68" s="38" t="s">
        <v>193</v>
      </c>
      <c r="E68" s="39" t="s">
        <v>823</v>
      </c>
      <c r="F68" s="40" t="s">
        <v>824</v>
      </c>
      <c r="G68" s="41" t="s">
        <v>272</v>
      </c>
      <c r="H68" s="42">
        <v>2</v>
      </c>
      <c r="I68" s="42">
        <v>2</v>
      </c>
      <c r="J68" s="43">
        <v>991.15</v>
      </c>
      <c r="K68" s="44">
        <f t="shared" si="24"/>
        <v>1982.3</v>
      </c>
      <c r="L68" s="90">
        <f t="shared" si="7"/>
        <v>1982.3</v>
      </c>
      <c r="M68" s="70">
        <v>2</v>
      </c>
      <c r="N68" s="71">
        <f t="shared" si="8"/>
        <v>1982.3</v>
      </c>
      <c r="O68" s="72"/>
      <c r="P68" s="73">
        <f t="shared" si="9"/>
        <v>0</v>
      </c>
      <c r="Q68" s="70">
        <f t="shared" si="25"/>
        <v>2</v>
      </c>
      <c r="R68" s="74">
        <f t="shared" si="26"/>
        <v>1982.3</v>
      </c>
      <c r="S68" s="75">
        <f t="shared" si="27"/>
        <v>1</v>
      </c>
      <c r="T68" s="76">
        <f t="shared" si="28"/>
        <v>0</v>
      </c>
      <c r="U68" s="77">
        <f t="shared" si="29"/>
        <v>0</v>
      </c>
      <c r="V68" s="78">
        <f t="shared" si="30"/>
        <v>0</v>
      </c>
    </row>
    <row r="69" spans="2:22" s="5" customFormat="1" ht="24.15" customHeight="1" x14ac:dyDescent="0.35">
      <c r="B69" s="4"/>
      <c r="C69" s="28" t="s">
        <v>375</v>
      </c>
      <c r="D69" s="28" t="s">
        <v>32</v>
      </c>
      <c r="E69" s="29" t="s">
        <v>821</v>
      </c>
      <c r="F69" s="30" t="s">
        <v>822</v>
      </c>
      <c r="G69" s="31" t="s">
        <v>272</v>
      </c>
      <c r="H69" s="32">
        <v>8</v>
      </c>
      <c r="I69" s="32">
        <v>8</v>
      </c>
      <c r="J69" s="33">
        <v>601.67999999999995</v>
      </c>
      <c r="K69" s="34">
        <f t="shared" si="24"/>
        <v>4813.4399999999996</v>
      </c>
      <c r="L69" s="90">
        <f t="shared" si="7"/>
        <v>4813.4399999999996</v>
      </c>
      <c r="M69" s="70">
        <v>8</v>
      </c>
      <c r="N69" s="71">
        <f t="shared" si="8"/>
        <v>4813.4399999999996</v>
      </c>
      <c r="O69" s="72"/>
      <c r="P69" s="73">
        <f t="shared" si="9"/>
        <v>0</v>
      </c>
      <c r="Q69" s="70">
        <f t="shared" si="25"/>
        <v>8</v>
      </c>
      <c r="R69" s="74">
        <f t="shared" si="26"/>
        <v>4813.4399999999996</v>
      </c>
      <c r="S69" s="75">
        <f t="shared" si="27"/>
        <v>1</v>
      </c>
      <c r="T69" s="76">
        <f t="shared" si="28"/>
        <v>0</v>
      </c>
      <c r="U69" s="77">
        <f t="shared" si="29"/>
        <v>0</v>
      </c>
      <c r="V69" s="78">
        <f t="shared" si="30"/>
        <v>0</v>
      </c>
    </row>
    <row r="70" spans="2:22" s="5" customFormat="1" ht="16.5" customHeight="1" x14ac:dyDescent="0.35">
      <c r="B70" s="4"/>
      <c r="C70" s="38" t="s">
        <v>378</v>
      </c>
      <c r="D70" s="38" t="s">
        <v>193</v>
      </c>
      <c r="E70" s="39" t="s">
        <v>825</v>
      </c>
      <c r="F70" s="40" t="s">
        <v>826</v>
      </c>
      <c r="G70" s="41" t="s">
        <v>272</v>
      </c>
      <c r="H70" s="42">
        <v>8</v>
      </c>
      <c r="I70" s="42">
        <v>8</v>
      </c>
      <c r="J70" s="43">
        <v>991.15</v>
      </c>
      <c r="K70" s="44">
        <f t="shared" si="24"/>
        <v>7929.2</v>
      </c>
      <c r="L70" s="90">
        <f t="shared" si="7"/>
        <v>7929.2</v>
      </c>
      <c r="M70" s="70">
        <v>8</v>
      </c>
      <c r="N70" s="71">
        <f t="shared" si="8"/>
        <v>7929.2</v>
      </c>
      <c r="O70" s="72"/>
      <c r="P70" s="73">
        <f t="shared" si="9"/>
        <v>0</v>
      </c>
      <c r="Q70" s="70">
        <f t="shared" si="25"/>
        <v>8</v>
      </c>
      <c r="R70" s="74">
        <f t="shared" si="26"/>
        <v>7929.2</v>
      </c>
      <c r="S70" s="75">
        <f t="shared" si="27"/>
        <v>1</v>
      </c>
      <c r="T70" s="76">
        <f t="shared" si="28"/>
        <v>0</v>
      </c>
      <c r="U70" s="77">
        <f t="shared" si="29"/>
        <v>0</v>
      </c>
      <c r="V70" s="78">
        <f t="shared" si="30"/>
        <v>0</v>
      </c>
    </row>
    <row r="71" spans="2:22" s="5" customFormat="1" ht="24.15" customHeight="1" x14ac:dyDescent="0.35">
      <c r="B71" s="4"/>
      <c r="C71" s="28" t="s">
        <v>381</v>
      </c>
      <c r="D71" s="28" t="s">
        <v>32</v>
      </c>
      <c r="E71" s="29" t="s">
        <v>827</v>
      </c>
      <c r="F71" s="30" t="s">
        <v>828</v>
      </c>
      <c r="G71" s="31" t="s">
        <v>272</v>
      </c>
      <c r="H71" s="32">
        <v>2</v>
      </c>
      <c r="I71" s="32">
        <v>2</v>
      </c>
      <c r="J71" s="33">
        <v>869.09</v>
      </c>
      <c r="K71" s="34">
        <f t="shared" si="24"/>
        <v>1738.18</v>
      </c>
      <c r="L71" s="90">
        <f t="shared" si="7"/>
        <v>1738.18</v>
      </c>
      <c r="M71" s="70">
        <v>2</v>
      </c>
      <c r="N71" s="71">
        <f t="shared" si="8"/>
        <v>1738.18</v>
      </c>
      <c r="O71" s="72"/>
      <c r="P71" s="73">
        <f t="shared" si="9"/>
        <v>0</v>
      </c>
      <c r="Q71" s="70">
        <f t="shared" si="25"/>
        <v>2</v>
      </c>
      <c r="R71" s="74">
        <f t="shared" si="26"/>
        <v>1738.18</v>
      </c>
      <c r="S71" s="75">
        <f t="shared" si="27"/>
        <v>1</v>
      </c>
      <c r="T71" s="76">
        <f t="shared" si="28"/>
        <v>0</v>
      </c>
      <c r="U71" s="77">
        <f t="shared" si="29"/>
        <v>0</v>
      </c>
      <c r="V71" s="78">
        <f t="shared" si="30"/>
        <v>0</v>
      </c>
    </row>
    <row r="72" spans="2:22" s="5" customFormat="1" ht="16.5" customHeight="1" x14ac:dyDescent="0.35">
      <c r="B72" s="4"/>
      <c r="C72" s="38" t="s">
        <v>269</v>
      </c>
      <c r="D72" s="38" t="s">
        <v>193</v>
      </c>
      <c r="E72" s="39" t="s">
        <v>829</v>
      </c>
      <c r="F72" s="40" t="s">
        <v>830</v>
      </c>
      <c r="G72" s="41" t="s">
        <v>272</v>
      </c>
      <c r="H72" s="42">
        <v>2</v>
      </c>
      <c r="I72" s="42">
        <v>2</v>
      </c>
      <c r="J72" s="43">
        <v>1189.98</v>
      </c>
      <c r="K72" s="44">
        <f t="shared" si="24"/>
        <v>2379.96</v>
      </c>
      <c r="L72" s="90">
        <f t="shared" si="7"/>
        <v>2379.96</v>
      </c>
      <c r="M72" s="70">
        <v>2</v>
      </c>
      <c r="N72" s="71">
        <f t="shared" si="8"/>
        <v>2379.96</v>
      </c>
      <c r="O72" s="72"/>
      <c r="P72" s="73">
        <f t="shared" si="9"/>
        <v>0</v>
      </c>
      <c r="Q72" s="70">
        <f t="shared" si="25"/>
        <v>2</v>
      </c>
      <c r="R72" s="74">
        <f t="shared" si="26"/>
        <v>2379.96</v>
      </c>
      <c r="S72" s="75">
        <f t="shared" si="27"/>
        <v>1</v>
      </c>
      <c r="T72" s="76">
        <f t="shared" si="28"/>
        <v>0</v>
      </c>
      <c r="U72" s="77">
        <f t="shared" si="29"/>
        <v>0</v>
      </c>
      <c r="V72" s="78">
        <f t="shared" si="30"/>
        <v>0</v>
      </c>
    </row>
    <row r="73" spans="2:22" s="5" customFormat="1" ht="24.15" customHeight="1" x14ac:dyDescent="0.35">
      <c r="B73" s="4"/>
      <c r="C73" s="28" t="s">
        <v>382</v>
      </c>
      <c r="D73" s="28" t="s">
        <v>32</v>
      </c>
      <c r="E73" s="29" t="s">
        <v>831</v>
      </c>
      <c r="F73" s="30" t="s">
        <v>832</v>
      </c>
      <c r="G73" s="31" t="s">
        <v>272</v>
      </c>
      <c r="H73" s="32">
        <v>1</v>
      </c>
      <c r="I73" s="32">
        <v>1</v>
      </c>
      <c r="J73" s="33">
        <v>668.53</v>
      </c>
      <c r="K73" s="34">
        <f t="shared" si="24"/>
        <v>668.53</v>
      </c>
      <c r="L73" s="90">
        <f t="shared" si="7"/>
        <v>668.53</v>
      </c>
      <c r="M73" s="70">
        <v>0</v>
      </c>
      <c r="N73" s="71">
        <f t="shared" si="8"/>
        <v>0</v>
      </c>
      <c r="O73" s="72">
        <v>1</v>
      </c>
      <c r="P73" s="73">
        <f t="shared" si="9"/>
        <v>668.53</v>
      </c>
      <c r="Q73" s="70">
        <f t="shared" si="25"/>
        <v>1</v>
      </c>
      <c r="R73" s="74">
        <f t="shared" si="26"/>
        <v>668.53</v>
      </c>
      <c r="S73" s="75">
        <f t="shared" si="27"/>
        <v>1</v>
      </c>
      <c r="T73" s="76">
        <f t="shared" si="28"/>
        <v>0</v>
      </c>
      <c r="U73" s="77">
        <f t="shared" si="29"/>
        <v>0</v>
      </c>
      <c r="V73" s="78">
        <f t="shared" si="30"/>
        <v>0</v>
      </c>
    </row>
    <row r="74" spans="2:22" s="5" customFormat="1" ht="24.15" customHeight="1" x14ac:dyDescent="0.35">
      <c r="B74" s="4"/>
      <c r="C74" s="38" t="s">
        <v>383</v>
      </c>
      <c r="D74" s="38" t="s">
        <v>193</v>
      </c>
      <c r="E74" s="39" t="s">
        <v>833</v>
      </c>
      <c r="F74" s="40" t="s">
        <v>834</v>
      </c>
      <c r="G74" s="41" t="s">
        <v>272</v>
      </c>
      <c r="H74" s="42">
        <v>2</v>
      </c>
      <c r="I74" s="42">
        <v>2</v>
      </c>
      <c r="J74" s="43">
        <v>3356.02</v>
      </c>
      <c r="K74" s="44">
        <f t="shared" si="24"/>
        <v>6712.04</v>
      </c>
      <c r="L74" s="90">
        <f t="shared" si="7"/>
        <v>6712.04</v>
      </c>
      <c r="M74" s="70">
        <v>0</v>
      </c>
      <c r="N74" s="71">
        <f t="shared" si="8"/>
        <v>0</v>
      </c>
      <c r="O74" s="72">
        <v>2</v>
      </c>
      <c r="P74" s="73">
        <f t="shared" si="9"/>
        <v>6712.04</v>
      </c>
      <c r="Q74" s="70">
        <f t="shared" si="25"/>
        <v>2</v>
      </c>
      <c r="R74" s="74">
        <f t="shared" si="26"/>
        <v>6712.04</v>
      </c>
      <c r="S74" s="75">
        <f t="shared" si="27"/>
        <v>1</v>
      </c>
      <c r="T74" s="76">
        <f t="shared" si="28"/>
        <v>0</v>
      </c>
      <c r="U74" s="77">
        <f t="shared" si="29"/>
        <v>0</v>
      </c>
      <c r="V74" s="78">
        <f t="shared" si="30"/>
        <v>0</v>
      </c>
    </row>
    <row r="75" spans="2:22" s="5" customFormat="1" ht="16.5" customHeight="1" x14ac:dyDescent="0.35">
      <c r="B75" s="4"/>
      <c r="C75" s="28" t="s">
        <v>384</v>
      </c>
      <c r="D75" s="28" t="s">
        <v>32</v>
      </c>
      <c r="E75" s="29" t="s">
        <v>835</v>
      </c>
      <c r="F75" s="30" t="s">
        <v>836</v>
      </c>
      <c r="G75" s="31" t="s">
        <v>120</v>
      </c>
      <c r="H75" s="32">
        <v>5</v>
      </c>
      <c r="I75" s="32">
        <v>5</v>
      </c>
      <c r="J75" s="33">
        <v>26.74</v>
      </c>
      <c r="K75" s="34">
        <f t="shared" si="24"/>
        <v>133.69999999999999</v>
      </c>
      <c r="L75" s="90">
        <f t="shared" si="7"/>
        <v>133.69999999999999</v>
      </c>
      <c r="M75" s="70">
        <v>0</v>
      </c>
      <c r="N75" s="71">
        <f t="shared" si="8"/>
        <v>0</v>
      </c>
      <c r="O75" s="72">
        <v>5</v>
      </c>
      <c r="P75" s="73">
        <f t="shared" si="9"/>
        <v>133.69999999999999</v>
      </c>
      <c r="Q75" s="70">
        <f t="shared" si="25"/>
        <v>5</v>
      </c>
      <c r="R75" s="74">
        <f t="shared" si="26"/>
        <v>133.69999999999999</v>
      </c>
      <c r="S75" s="75">
        <f t="shared" si="27"/>
        <v>1</v>
      </c>
      <c r="T75" s="76">
        <f t="shared" si="28"/>
        <v>0</v>
      </c>
      <c r="U75" s="77">
        <f t="shared" si="29"/>
        <v>0</v>
      </c>
      <c r="V75" s="78">
        <f t="shared" si="30"/>
        <v>0</v>
      </c>
    </row>
    <row r="76" spans="2:22" s="5" customFormat="1" ht="21.75" customHeight="1" x14ac:dyDescent="0.35">
      <c r="B76" s="4"/>
      <c r="C76" s="28" t="s">
        <v>385</v>
      </c>
      <c r="D76" s="28" t="s">
        <v>32</v>
      </c>
      <c r="E76" s="29" t="s">
        <v>837</v>
      </c>
      <c r="F76" s="30" t="s">
        <v>838</v>
      </c>
      <c r="G76" s="31" t="s">
        <v>120</v>
      </c>
      <c r="H76" s="32">
        <v>5</v>
      </c>
      <c r="I76" s="32">
        <v>5</v>
      </c>
      <c r="J76" s="33">
        <v>106.96</v>
      </c>
      <c r="K76" s="34">
        <f t="shared" si="24"/>
        <v>534.79999999999995</v>
      </c>
      <c r="L76" s="90">
        <f t="shared" si="7"/>
        <v>534.79999999999995</v>
      </c>
      <c r="M76" s="70">
        <v>0</v>
      </c>
      <c r="N76" s="71">
        <f t="shared" si="8"/>
        <v>0</v>
      </c>
      <c r="O76" s="72">
        <v>5</v>
      </c>
      <c r="P76" s="73">
        <f t="shared" si="9"/>
        <v>534.79999999999995</v>
      </c>
      <c r="Q76" s="70">
        <f t="shared" si="25"/>
        <v>5</v>
      </c>
      <c r="R76" s="74">
        <f t="shared" si="26"/>
        <v>534.79999999999995</v>
      </c>
      <c r="S76" s="75">
        <f t="shared" si="27"/>
        <v>1</v>
      </c>
      <c r="T76" s="76">
        <f t="shared" si="28"/>
        <v>0</v>
      </c>
      <c r="U76" s="77">
        <f t="shared" si="29"/>
        <v>0</v>
      </c>
      <c r="V76" s="78">
        <f t="shared" si="30"/>
        <v>0</v>
      </c>
    </row>
    <row r="77" spans="2:22" s="5" customFormat="1" ht="24.15" customHeight="1" x14ac:dyDescent="0.35">
      <c r="B77" s="4"/>
      <c r="C77" s="28" t="s">
        <v>386</v>
      </c>
      <c r="D77" s="28" t="s">
        <v>32</v>
      </c>
      <c r="E77" s="29" t="s">
        <v>839</v>
      </c>
      <c r="F77" s="30" t="s">
        <v>840</v>
      </c>
      <c r="G77" s="31" t="s">
        <v>120</v>
      </c>
      <c r="H77" s="32">
        <v>5</v>
      </c>
      <c r="I77" s="32">
        <v>5</v>
      </c>
      <c r="J77" s="33">
        <v>467.97</v>
      </c>
      <c r="K77" s="34">
        <f t="shared" si="24"/>
        <v>2339.85</v>
      </c>
      <c r="L77" s="90">
        <f t="shared" si="7"/>
        <v>2339.8500000000004</v>
      </c>
      <c r="M77" s="70">
        <v>0</v>
      </c>
      <c r="N77" s="71">
        <f t="shared" si="8"/>
        <v>0</v>
      </c>
      <c r="O77" s="72">
        <v>5</v>
      </c>
      <c r="P77" s="73">
        <f t="shared" si="9"/>
        <v>2339.8500000000004</v>
      </c>
      <c r="Q77" s="70">
        <f t="shared" si="25"/>
        <v>5</v>
      </c>
      <c r="R77" s="74">
        <f t="shared" si="26"/>
        <v>2339.8500000000004</v>
      </c>
      <c r="S77" s="75">
        <f t="shared" si="27"/>
        <v>1.0000000000000002</v>
      </c>
      <c r="T77" s="76">
        <f t="shared" si="28"/>
        <v>0</v>
      </c>
      <c r="U77" s="77">
        <f t="shared" si="29"/>
        <v>0</v>
      </c>
      <c r="V77" s="78">
        <f t="shared" si="30"/>
        <v>0</v>
      </c>
    </row>
    <row r="78" spans="2:22" s="5" customFormat="1" ht="24.15" customHeight="1" x14ac:dyDescent="0.35">
      <c r="B78" s="4"/>
      <c r="C78" s="28" t="s">
        <v>387</v>
      </c>
      <c r="D78" s="28" t="s">
        <v>32</v>
      </c>
      <c r="E78" s="29" t="s">
        <v>841</v>
      </c>
      <c r="F78" s="30" t="s">
        <v>842</v>
      </c>
      <c r="G78" s="31" t="s">
        <v>272</v>
      </c>
      <c r="H78" s="32">
        <v>1</v>
      </c>
      <c r="I78" s="32">
        <v>1</v>
      </c>
      <c r="J78" s="33">
        <v>6016.77</v>
      </c>
      <c r="K78" s="34">
        <f t="shared" si="24"/>
        <v>6016.77</v>
      </c>
      <c r="L78" s="90">
        <f t="shared" si="7"/>
        <v>6016.77</v>
      </c>
      <c r="M78" s="70">
        <v>1</v>
      </c>
      <c r="N78" s="71">
        <f t="shared" si="8"/>
        <v>6016.77</v>
      </c>
      <c r="O78" s="72"/>
      <c r="P78" s="73">
        <f t="shared" si="9"/>
        <v>0</v>
      </c>
      <c r="Q78" s="70">
        <f t="shared" si="25"/>
        <v>1</v>
      </c>
      <c r="R78" s="74">
        <f t="shared" si="26"/>
        <v>6016.77</v>
      </c>
      <c r="S78" s="75">
        <f t="shared" si="27"/>
        <v>1</v>
      </c>
      <c r="T78" s="76">
        <f t="shared" si="28"/>
        <v>0</v>
      </c>
      <c r="U78" s="77">
        <f t="shared" si="29"/>
        <v>0</v>
      </c>
      <c r="V78" s="78">
        <f t="shared" si="30"/>
        <v>0</v>
      </c>
    </row>
    <row r="79" spans="2:22" s="5" customFormat="1" ht="24.15" customHeight="1" x14ac:dyDescent="0.35">
      <c r="B79" s="4"/>
      <c r="C79" s="28" t="s">
        <v>388</v>
      </c>
      <c r="D79" s="28" t="s">
        <v>32</v>
      </c>
      <c r="E79" s="29" t="s">
        <v>843</v>
      </c>
      <c r="F79" s="30" t="s">
        <v>844</v>
      </c>
      <c r="G79" s="31" t="s">
        <v>73</v>
      </c>
      <c r="H79" s="32">
        <v>1</v>
      </c>
      <c r="I79" s="32">
        <v>1</v>
      </c>
      <c r="J79" s="33">
        <v>3342.65</v>
      </c>
      <c r="K79" s="34">
        <f t="shared" si="24"/>
        <v>3342.65</v>
      </c>
      <c r="L79" s="90">
        <f t="shared" si="7"/>
        <v>3342.65</v>
      </c>
      <c r="M79" s="70">
        <v>0</v>
      </c>
      <c r="N79" s="71">
        <f t="shared" si="8"/>
        <v>0</v>
      </c>
      <c r="O79" s="72">
        <v>1</v>
      </c>
      <c r="P79" s="73">
        <f t="shared" si="9"/>
        <v>3342.65</v>
      </c>
      <c r="Q79" s="70">
        <f t="shared" si="25"/>
        <v>1</v>
      </c>
      <c r="R79" s="74">
        <f t="shared" si="26"/>
        <v>3342.65</v>
      </c>
      <c r="S79" s="75">
        <f t="shared" si="27"/>
        <v>1</v>
      </c>
      <c r="T79" s="76">
        <f t="shared" si="28"/>
        <v>0</v>
      </c>
      <c r="U79" s="77">
        <f t="shared" si="29"/>
        <v>0</v>
      </c>
      <c r="V79" s="78">
        <f t="shared" si="30"/>
        <v>0</v>
      </c>
    </row>
    <row r="80" spans="2:22" s="5" customFormat="1" ht="16.5" customHeight="1" x14ac:dyDescent="0.35">
      <c r="B80" s="4"/>
      <c r="C80" s="28" t="s">
        <v>390</v>
      </c>
      <c r="D80" s="28" t="s">
        <v>32</v>
      </c>
      <c r="E80" s="29" t="s">
        <v>845</v>
      </c>
      <c r="F80" s="30" t="s">
        <v>846</v>
      </c>
      <c r="G80" s="31" t="s">
        <v>120</v>
      </c>
      <c r="H80" s="32">
        <v>1</v>
      </c>
      <c r="I80" s="32">
        <v>1</v>
      </c>
      <c r="J80" s="33">
        <v>5080.83</v>
      </c>
      <c r="K80" s="34">
        <f t="shared" si="24"/>
        <v>5080.83</v>
      </c>
      <c r="L80" s="90">
        <f t="shared" si="7"/>
        <v>5080.83</v>
      </c>
      <c r="M80" s="70">
        <v>1</v>
      </c>
      <c r="N80" s="71">
        <f t="shared" si="8"/>
        <v>5080.83</v>
      </c>
      <c r="O80" s="72"/>
      <c r="P80" s="73">
        <f t="shared" si="9"/>
        <v>0</v>
      </c>
      <c r="Q80" s="70">
        <f t="shared" si="25"/>
        <v>1</v>
      </c>
      <c r="R80" s="74">
        <f t="shared" si="26"/>
        <v>5080.83</v>
      </c>
      <c r="S80" s="75">
        <f t="shared" si="27"/>
        <v>1</v>
      </c>
      <c r="T80" s="76">
        <f t="shared" si="28"/>
        <v>0</v>
      </c>
      <c r="U80" s="77">
        <f t="shared" si="29"/>
        <v>0</v>
      </c>
      <c r="V80" s="78">
        <f t="shared" si="30"/>
        <v>0</v>
      </c>
    </row>
    <row r="81" spans="2:22" s="5" customFormat="1" ht="16.5" customHeight="1" x14ac:dyDescent="0.35">
      <c r="B81" s="4"/>
      <c r="C81" s="28" t="s">
        <v>391</v>
      </c>
      <c r="D81" s="28" t="s">
        <v>32</v>
      </c>
      <c r="E81" s="29" t="s">
        <v>847</v>
      </c>
      <c r="F81" s="30" t="s">
        <v>848</v>
      </c>
      <c r="G81" s="31" t="s">
        <v>73</v>
      </c>
      <c r="H81" s="32">
        <v>1</v>
      </c>
      <c r="I81" s="32">
        <v>1</v>
      </c>
      <c r="J81" s="33">
        <v>200.56</v>
      </c>
      <c r="K81" s="34">
        <f t="shared" si="24"/>
        <v>200.56</v>
      </c>
      <c r="L81" s="90">
        <f t="shared" si="7"/>
        <v>200.56</v>
      </c>
      <c r="M81" s="70">
        <v>0</v>
      </c>
      <c r="N81" s="71">
        <f t="shared" si="8"/>
        <v>0</v>
      </c>
      <c r="O81" s="72">
        <v>1</v>
      </c>
      <c r="P81" s="73">
        <f t="shared" si="9"/>
        <v>200.56</v>
      </c>
      <c r="Q81" s="70">
        <f t="shared" si="25"/>
        <v>1</v>
      </c>
      <c r="R81" s="74">
        <f t="shared" si="26"/>
        <v>200.56</v>
      </c>
      <c r="S81" s="75">
        <f t="shared" si="27"/>
        <v>1</v>
      </c>
      <c r="T81" s="76">
        <f t="shared" si="28"/>
        <v>0</v>
      </c>
      <c r="U81" s="77">
        <f t="shared" si="29"/>
        <v>0</v>
      </c>
      <c r="V81" s="78">
        <f t="shared" si="30"/>
        <v>0</v>
      </c>
    </row>
    <row r="82" spans="2:22" s="5" customFormat="1" ht="16.5" customHeight="1" x14ac:dyDescent="0.35">
      <c r="B82" s="4"/>
      <c r="C82" s="28" t="s">
        <v>307</v>
      </c>
      <c r="D82" s="28" t="s">
        <v>32</v>
      </c>
      <c r="E82" s="29" t="s">
        <v>849</v>
      </c>
      <c r="F82" s="30" t="s">
        <v>850</v>
      </c>
      <c r="G82" s="31" t="s">
        <v>120</v>
      </c>
      <c r="H82" s="32">
        <v>5</v>
      </c>
      <c r="I82" s="32">
        <v>5</v>
      </c>
      <c r="J82" s="33">
        <v>60.17</v>
      </c>
      <c r="K82" s="34">
        <f t="shared" si="24"/>
        <v>300.85000000000002</v>
      </c>
      <c r="L82" s="90">
        <f t="shared" si="7"/>
        <v>300.85000000000002</v>
      </c>
      <c r="M82" s="70">
        <v>5</v>
      </c>
      <c r="N82" s="71">
        <f t="shared" si="8"/>
        <v>300.85000000000002</v>
      </c>
      <c r="O82" s="72"/>
      <c r="P82" s="73">
        <f t="shared" si="9"/>
        <v>0</v>
      </c>
      <c r="Q82" s="70">
        <f t="shared" si="25"/>
        <v>5</v>
      </c>
      <c r="R82" s="74">
        <f t="shared" si="26"/>
        <v>300.85000000000002</v>
      </c>
      <c r="S82" s="75">
        <f t="shared" si="27"/>
        <v>1</v>
      </c>
      <c r="T82" s="76">
        <f t="shared" si="28"/>
        <v>0</v>
      </c>
      <c r="U82" s="77">
        <f t="shared" si="29"/>
        <v>0</v>
      </c>
      <c r="V82" s="78">
        <f t="shared" si="30"/>
        <v>0</v>
      </c>
    </row>
    <row r="83" spans="2:22" s="5" customFormat="1" ht="21.75" customHeight="1" x14ac:dyDescent="0.35">
      <c r="B83" s="4"/>
      <c r="C83" s="28" t="s">
        <v>305</v>
      </c>
      <c r="D83" s="28" t="s">
        <v>32</v>
      </c>
      <c r="E83" s="29" t="s">
        <v>851</v>
      </c>
      <c r="F83" s="30" t="s">
        <v>852</v>
      </c>
      <c r="G83" s="31" t="s">
        <v>120</v>
      </c>
      <c r="H83" s="32">
        <v>5</v>
      </c>
      <c r="I83" s="32">
        <v>5</v>
      </c>
      <c r="J83" s="33">
        <v>9.36</v>
      </c>
      <c r="K83" s="34">
        <f t="shared" si="24"/>
        <v>46.8</v>
      </c>
      <c r="L83" s="90">
        <f t="shared" si="7"/>
        <v>46.8</v>
      </c>
      <c r="M83" s="70">
        <v>5</v>
      </c>
      <c r="N83" s="71">
        <f t="shared" si="8"/>
        <v>46.8</v>
      </c>
      <c r="O83" s="72"/>
      <c r="P83" s="73">
        <f t="shared" si="9"/>
        <v>0</v>
      </c>
      <c r="Q83" s="70">
        <f t="shared" si="25"/>
        <v>5</v>
      </c>
      <c r="R83" s="74">
        <f t="shared" si="26"/>
        <v>46.8</v>
      </c>
      <c r="S83" s="75">
        <f t="shared" si="27"/>
        <v>1</v>
      </c>
      <c r="T83" s="76">
        <f t="shared" si="28"/>
        <v>0</v>
      </c>
      <c r="U83" s="77">
        <f t="shared" si="29"/>
        <v>0</v>
      </c>
      <c r="V83" s="78">
        <f t="shared" si="30"/>
        <v>0</v>
      </c>
    </row>
    <row r="84" spans="2:22" s="5" customFormat="1" ht="21.75" customHeight="1" x14ac:dyDescent="0.35">
      <c r="B84" s="4"/>
      <c r="C84" s="28" t="s">
        <v>303</v>
      </c>
      <c r="D84" s="28" t="s">
        <v>32</v>
      </c>
      <c r="E84" s="29" t="s">
        <v>853</v>
      </c>
      <c r="F84" s="30" t="s">
        <v>854</v>
      </c>
      <c r="G84" s="31" t="s">
        <v>272</v>
      </c>
      <c r="H84" s="32">
        <v>2</v>
      </c>
      <c r="I84" s="32">
        <v>2</v>
      </c>
      <c r="J84" s="33">
        <v>56154.69</v>
      </c>
      <c r="K84" s="34">
        <f t="shared" si="24"/>
        <v>112309.38</v>
      </c>
      <c r="L84" s="90">
        <f t="shared" si="7"/>
        <v>112309.38</v>
      </c>
      <c r="M84" s="70">
        <v>2</v>
      </c>
      <c r="N84" s="71">
        <f t="shared" si="8"/>
        <v>112309.38</v>
      </c>
      <c r="O84" s="72"/>
      <c r="P84" s="73">
        <f t="shared" si="9"/>
        <v>0</v>
      </c>
      <c r="Q84" s="70">
        <f t="shared" si="25"/>
        <v>2</v>
      </c>
      <c r="R84" s="74">
        <f t="shared" si="26"/>
        <v>112309.38</v>
      </c>
      <c r="S84" s="75">
        <f t="shared" si="27"/>
        <v>1</v>
      </c>
      <c r="T84" s="76">
        <f t="shared" si="28"/>
        <v>0</v>
      </c>
      <c r="U84" s="77">
        <f t="shared" si="29"/>
        <v>0</v>
      </c>
      <c r="V84" s="78">
        <f t="shared" si="30"/>
        <v>0</v>
      </c>
    </row>
    <row r="85" spans="2:22" s="5" customFormat="1" ht="24.15" customHeight="1" x14ac:dyDescent="0.35">
      <c r="B85" s="4"/>
      <c r="C85" s="28" t="s">
        <v>392</v>
      </c>
      <c r="D85" s="28" t="s">
        <v>32</v>
      </c>
      <c r="E85" s="29" t="s">
        <v>855</v>
      </c>
      <c r="F85" s="30" t="s">
        <v>856</v>
      </c>
      <c r="G85" s="31" t="s">
        <v>272</v>
      </c>
      <c r="H85" s="32">
        <v>1</v>
      </c>
      <c r="I85" s="32">
        <v>1</v>
      </c>
      <c r="J85" s="33">
        <v>26072.66</v>
      </c>
      <c r="K85" s="34">
        <f t="shared" si="24"/>
        <v>26072.66</v>
      </c>
      <c r="L85" s="90">
        <f>I85*J85</f>
        <v>26072.66</v>
      </c>
      <c r="M85" s="70">
        <v>1</v>
      </c>
      <c r="N85" s="71">
        <f>M85*J85</f>
        <v>26072.66</v>
      </c>
      <c r="O85" s="72"/>
      <c r="P85" s="73">
        <f>O85*J85</f>
        <v>0</v>
      </c>
      <c r="Q85" s="70">
        <f t="shared" si="25"/>
        <v>1</v>
      </c>
      <c r="R85" s="74">
        <f t="shared" si="26"/>
        <v>26072.66</v>
      </c>
      <c r="S85" s="75">
        <f t="shared" si="27"/>
        <v>1</v>
      </c>
      <c r="T85" s="76">
        <f t="shared" si="28"/>
        <v>0</v>
      </c>
      <c r="U85" s="77">
        <f t="shared" si="29"/>
        <v>0</v>
      </c>
      <c r="V85" s="78">
        <f t="shared" si="30"/>
        <v>0</v>
      </c>
    </row>
    <row r="86" spans="2:22" s="5" customFormat="1" ht="24.15" customHeight="1" x14ac:dyDescent="0.35">
      <c r="B86" s="4"/>
      <c r="C86" s="28" t="s">
        <v>85</v>
      </c>
      <c r="D86" s="28" t="s">
        <v>32</v>
      </c>
      <c r="E86" s="29" t="s">
        <v>857</v>
      </c>
      <c r="F86" s="30" t="s">
        <v>858</v>
      </c>
      <c r="G86" s="31" t="s">
        <v>272</v>
      </c>
      <c r="H86" s="32">
        <v>1</v>
      </c>
      <c r="I86" s="32">
        <v>1</v>
      </c>
      <c r="J86" s="33">
        <v>32490.54</v>
      </c>
      <c r="K86" s="34">
        <f t="shared" si="24"/>
        <v>32490.54</v>
      </c>
      <c r="L86" s="90">
        <f>I86*J86</f>
        <v>32490.54</v>
      </c>
      <c r="M86" s="70">
        <v>1</v>
      </c>
      <c r="N86" s="71">
        <f>M86*J86</f>
        <v>32490.54</v>
      </c>
      <c r="O86" s="72"/>
      <c r="P86" s="73">
        <f>O86*J86</f>
        <v>0</v>
      </c>
      <c r="Q86" s="70">
        <f t="shared" si="25"/>
        <v>1</v>
      </c>
      <c r="R86" s="74">
        <f t="shared" si="26"/>
        <v>32490.54</v>
      </c>
      <c r="S86" s="75">
        <f t="shared" si="27"/>
        <v>1</v>
      </c>
      <c r="T86" s="76">
        <f t="shared" si="28"/>
        <v>0</v>
      </c>
      <c r="U86" s="77">
        <f t="shared" si="29"/>
        <v>0</v>
      </c>
      <c r="V86" s="78">
        <f t="shared" si="30"/>
        <v>0</v>
      </c>
    </row>
    <row r="87" spans="2:22" s="23" customFormat="1" ht="26" customHeight="1" x14ac:dyDescent="0.35">
      <c r="B87" s="22"/>
      <c r="D87" s="24" t="s">
        <v>27</v>
      </c>
      <c r="E87" s="25" t="s">
        <v>472</v>
      </c>
      <c r="F87" s="25" t="s">
        <v>260</v>
      </c>
      <c r="J87" s="26"/>
      <c r="K87" s="27">
        <f>SUM(K88)</f>
        <v>1203.3499999999999</v>
      </c>
      <c r="L87" s="27">
        <f>SUM(L88)</f>
        <v>1203.3499999999999</v>
      </c>
      <c r="N87" s="27">
        <f>SUM(N88)</f>
        <v>1083.0149999999999</v>
      </c>
      <c r="P87" s="27">
        <f>SUM(P88)</f>
        <v>120.33499999999999</v>
      </c>
      <c r="R87" s="27">
        <f>SUM(R88)</f>
        <v>1203.3499999999999</v>
      </c>
      <c r="U87" s="27">
        <f>SUM(U88)</f>
        <v>0</v>
      </c>
    </row>
    <row r="88" spans="2:22" s="5" customFormat="1" ht="24.15" customHeight="1" x14ac:dyDescent="0.35">
      <c r="B88" s="4"/>
      <c r="C88" s="28" t="s">
        <v>393</v>
      </c>
      <c r="D88" s="28" t="s">
        <v>32</v>
      </c>
      <c r="E88" s="29" t="s">
        <v>859</v>
      </c>
      <c r="F88" s="30" t="s">
        <v>860</v>
      </c>
      <c r="G88" s="31" t="s">
        <v>223</v>
      </c>
      <c r="H88" s="32">
        <v>1</v>
      </c>
      <c r="I88" s="32">
        <v>1</v>
      </c>
      <c r="J88" s="33">
        <v>1203.3499999999999</v>
      </c>
      <c r="K88" s="34">
        <f>ROUND(J88*H88,2)</f>
        <v>1203.3499999999999</v>
      </c>
      <c r="L88" s="90">
        <f>I88*J88</f>
        <v>1203.3499999999999</v>
      </c>
      <c r="M88" s="70">
        <v>0.9</v>
      </c>
      <c r="N88" s="71">
        <f>M88*J88</f>
        <v>1083.0149999999999</v>
      </c>
      <c r="O88" s="72">
        <v>0.1</v>
      </c>
      <c r="P88" s="73">
        <f>O88*J88</f>
        <v>120.33499999999999</v>
      </c>
      <c r="Q88" s="70">
        <f>O88+M88</f>
        <v>1</v>
      </c>
      <c r="R88" s="74">
        <f>Q88*J88</f>
        <v>1203.3499999999999</v>
      </c>
      <c r="S88" s="75">
        <f>R88/K88</f>
        <v>1</v>
      </c>
      <c r="T88" s="76">
        <f>H88-Q88</f>
        <v>0</v>
      </c>
      <c r="U88" s="77">
        <f>T88*J88</f>
        <v>0</v>
      </c>
      <c r="V88" s="78">
        <f>T88/H88</f>
        <v>0</v>
      </c>
    </row>
    <row r="89" spans="2:22" s="5" customFormat="1" ht="6.9" customHeight="1" x14ac:dyDescent="0.35">
      <c r="B89" s="11"/>
      <c r="C89" s="12"/>
      <c r="D89" s="12"/>
      <c r="E89" s="12"/>
      <c r="F89" s="12"/>
      <c r="G89" s="12"/>
      <c r="H89" s="12"/>
      <c r="I89" s="12"/>
      <c r="J89" s="12"/>
      <c r="K89" s="12"/>
    </row>
  </sheetData>
  <autoFilter ref="K2:K89" xr:uid="{B59BDD06-65F4-44CA-85AF-3AAD53AB0D69}"/>
  <mergeCells count="7">
    <mergeCell ref="T16:V16"/>
    <mergeCell ref="E10:H10"/>
    <mergeCell ref="E6:H6"/>
    <mergeCell ref="E8:H8"/>
    <mergeCell ref="M16:N16"/>
    <mergeCell ref="O16:P16"/>
    <mergeCell ref="Q16:S16"/>
  </mergeCells>
  <pageMargins left="0.70866141732283472" right="0.70866141732283472" top="0.78740157480314965" bottom="0.78740157480314965" header="0.31496062992125984" footer="0.31496062992125984"/>
  <pageSetup paperSize="9" scale="90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B700-8C1E-44D8-9F70-50A441FBB1B0}">
  <sheetPr>
    <pageSetUpPr fitToPage="1"/>
  </sheetPr>
  <dimension ref="B2:V36"/>
  <sheetViews>
    <sheetView view="pageBreakPreview" topLeftCell="A10" zoomScaleNormal="100" zoomScaleSheetLayoutView="100" workbookViewId="0">
      <selection activeCell="L30" sqref="L30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2.1796875" customWidth="1"/>
    <col min="16" max="16" width="11.90625" customWidth="1"/>
    <col min="18" max="18" width="11.81640625" customWidth="1"/>
    <col min="21" max="21" width="13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263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69" t="s">
        <v>716</v>
      </c>
      <c r="F10" s="183"/>
      <c r="G10" s="183"/>
      <c r="H10" s="183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/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</row>
    <row r="16" spans="2:22" s="5" customFormat="1" ht="29.5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SUM(K25,K29,K19,K34)</f>
        <v>249402.13</v>
      </c>
      <c r="L18" s="21">
        <f>SUM(L25,L29,L19,L34)</f>
        <v>249402.13419000001</v>
      </c>
      <c r="M18" s="4"/>
      <c r="N18" s="21">
        <f>SUM(N25,N29,N19,N34)</f>
        <v>249402.11419000002</v>
      </c>
      <c r="O18" s="63"/>
      <c r="P18" s="21">
        <f>SUM(P25,P29,P19,P34)</f>
        <v>0</v>
      </c>
      <c r="Q18" s="64"/>
      <c r="R18" s="21">
        <f>SUM(R25,R29,R19,R34)</f>
        <v>249402.11419000002</v>
      </c>
      <c r="S18" s="64"/>
      <c r="T18" s="63"/>
      <c r="U18" s="21">
        <f>SUM(U25,U29,U19,U34)</f>
        <v>0</v>
      </c>
    </row>
    <row r="19" spans="2:22" s="23" customFormat="1" ht="23" customHeight="1" x14ac:dyDescent="0.25">
      <c r="B19" s="22"/>
      <c r="D19" s="24" t="s">
        <v>27</v>
      </c>
      <c r="E19" s="36" t="s">
        <v>31</v>
      </c>
      <c r="F19" s="36" t="s">
        <v>204</v>
      </c>
      <c r="J19" s="26"/>
      <c r="K19" s="37">
        <f>SUM(K20:K24)</f>
        <v>5638.3700000000008</v>
      </c>
      <c r="L19" s="37">
        <f>SUM(L20:L24)+0.01</f>
        <v>5638.3700000000008</v>
      </c>
      <c r="M19" s="65"/>
      <c r="N19" s="37">
        <f>SUM(N20:N24)</f>
        <v>5638.3600000000006</v>
      </c>
      <c r="O19" s="67"/>
      <c r="P19" s="37">
        <f>SUM(P20:P24)</f>
        <v>0</v>
      </c>
      <c r="Q19" s="68"/>
      <c r="R19" s="37">
        <f>SUM(R20:R24)</f>
        <v>5638.3600000000006</v>
      </c>
      <c r="S19" s="68"/>
      <c r="T19" s="67"/>
      <c r="U19" s="37">
        <f>SUM(U20:U24)</f>
        <v>0</v>
      </c>
      <c r="V19" s="69"/>
    </row>
    <row r="20" spans="2:22" s="5" customFormat="1" ht="24.15" customHeight="1" x14ac:dyDescent="0.35">
      <c r="B20" s="4"/>
      <c r="C20" s="28" t="s">
        <v>31</v>
      </c>
      <c r="D20" s="28" t="s">
        <v>32</v>
      </c>
      <c r="E20" s="29" t="s">
        <v>717</v>
      </c>
      <c r="F20" s="30" t="s">
        <v>718</v>
      </c>
      <c r="G20" s="31" t="s">
        <v>214</v>
      </c>
      <c r="H20" s="32">
        <v>5.6</v>
      </c>
      <c r="I20" s="32">
        <v>5.6</v>
      </c>
      <c r="J20" s="33">
        <v>267.41000000000003</v>
      </c>
      <c r="K20" s="34">
        <f>ROUND(J20*H20,2)</f>
        <v>1497.5</v>
      </c>
      <c r="L20" s="90">
        <f>I20*J20</f>
        <v>1497.4960000000001</v>
      </c>
      <c r="M20" s="70">
        <v>5.6</v>
      </c>
      <c r="N20" s="71">
        <f>M20*J20</f>
        <v>1497.4960000000001</v>
      </c>
      <c r="O20" s="72"/>
      <c r="P20" s="73">
        <f>O20*J20</f>
        <v>0</v>
      </c>
      <c r="Q20" s="70">
        <f>O20+M20</f>
        <v>5.6</v>
      </c>
      <c r="R20" s="74">
        <f>Q20*J20</f>
        <v>1497.4960000000001</v>
      </c>
      <c r="S20" s="75">
        <f>R20/K20</f>
        <v>0.99999732888146919</v>
      </c>
      <c r="T20" s="76">
        <f>H20-Q20</f>
        <v>0</v>
      </c>
      <c r="U20" s="77">
        <f>T20*J20</f>
        <v>0</v>
      </c>
      <c r="V20" s="78">
        <f>T20/H20</f>
        <v>0</v>
      </c>
    </row>
    <row r="21" spans="2:22" s="5" customFormat="1" ht="38" customHeight="1" x14ac:dyDescent="0.35">
      <c r="B21" s="4"/>
      <c r="C21" s="28" t="s">
        <v>0</v>
      </c>
      <c r="D21" s="28" t="s">
        <v>32</v>
      </c>
      <c r="E21" s="29" t="s">
        <v>217</v>
      </c>
      <c r="F21" s="30" t="s">
        <v>218</v>
      </c>
      <c r="G21" s="31" t="s">
        <v>214</v>
      </c>
      <c r="H21" s="32">
        <v>5.6</v>
      </c>
      <c r="I21" s="32">
        <v>5.6</v>
      </c>
      <c r="J21" s="33">
        <v>200.56</v>
      </c>
      <c r="K21" s="34">
        <f>ROUND(J21*H21,2)</f>
        <v>1123.1400000000001</v>
      </c>
      <c r="L21" s="90">
        <f t="shared" ref="L21:L35" si="0">I21*J21</f>
        <v>1123.136</v>
      </c>
      <c r="M21" s="70">
        <v>5.6</v>
      </c>
      <c r="N21" s="71">
        <f t="shared" ref="N21:N35" si="1">M21*J21</f>
        <v>1123.136</v>
      </c>
      <c r="O21" s="72"/>
      <c r="P21" s="73">
        <f t="shared" ref="P21:P35" si="2">O21*J21</f>
        <v>0</v>
      </c>
      <c r="Q21" s="70">
        <f>O21+M21</f>
        <v>5.6</v>
      </c>
      <c r="R21" s="74">
        <f>Q21*J21</f>
        <v>1123.136</v>
      </c>
      <c r="S21" s="75">
        <f>R21/K21</f>
        <v>0.99999643855619058</v>
      </c>
      <c r="T21" s="76">
        <f>H21-Q21</f>
        <v>0</v>
      </c>
      <c r="U21" s="77">
        <f>T21*J21</f>
        <v>0</v>
      </c>
      <c r="V21" s="78">
        <f>T21/H21</f>
        <v>0</v>
      </c>
    </row>
    <row r="22" spans="2:22" s="5" customFormat="1" ht="38" customHeight="1" x14ac:dyDescent="0.35">
      <c r="B22" s="4"/>
      <c r="C22" s="28" t="s">
        <v>38</v>
      </c>
      <c r="D22" s="28" t="s">
        <v>32</v>
      </c>
      <c r="E22" s="29" t="s">
        <v>219</v>
      </c>
      <c r="F22" s="30" t="s">
        <v>220</v>
      </c>
      <c r="G22" s="31" t="s">
        <v>214</v>
      </c>
      <c r="H22" s="32">
        <v>56</v>
      </c>
      <c r="I22" s="32">
        <v>56</v>
      </c>
      <c r="J22" s="33">
        <v>1.34</v>
      </c>
      <c r="K22" s="34">
        <f>ROUND(J22*H22,2)</f>
        <v>75.040000000000006</v>
      </c>
      <c r="L22" s="90">
        <f t="shared" si="0"/>
        <v>75.040000000000006</v>
      </c>
      <c r="M22" s="70">
        <v>56</v>
      </c>
      <c r="N22" s="71">
        <f t="shared" si="1"/>
        <v>75.040000000000006</v>
      </c>
      <c r="O22" s="72"/>
      <c r="P22" s="73">
        <f t="shared" si="2"/>
        <v>0</v>
      </c>
      <c r="Q22" s="70">
        <f>O22+M22</f>
        <v>56</v>
      </c>
      <c r="R22" s="74">
        <f>Q22*J22</f>
        <v>75.040000000000006</v>
      </c>
      <c r="S22" s="75">
        <f>R22/K22</f>
        <v>1</v>
      </c>
      <c r="T22" s="76">
        <f>H22-Q22</f>
        <v>0</v>
      </c>
      <c r="U22" s="77">
        <f>T22*J22</f>
        <v>0</v>
      </c>
      <c r="V22" s="78">
        <f>T22/H22</f>
        <v>0</v>
      </c>
    </row>
    <row r="23" spans="2:22" s="5" customFormat="1" ht="16.5" customHeight="1" x14ac:dyDescent="0.35">
      <c r="B23" s="4"/>
      <c r="C23" s="28" t="s">
        <v>41</v>
      </c>
      <c r="D23" s="28" t="s">
        <v>32</v>
      </c>
      <c r="E23" s="29" t="s">
        <v>221</v>
      </c>
      <c r="F23" s="30" t="s">
        <v>719</v>
      </c>
      <c r="G23" s="31" t="s">
        <v>223</v>
      </c>
      <c r="H23" s="32">
        <v>11.2</v>
      </c>
      <c r="I23" s="32">
        <v>11.2</v>
      </c>
      <c r="J23" s="33">
        <v>212.59</v>
      </c>
      <c r="K23" s="34">
        <f>ROUND(J23*H23,2)</f>
        <v>2381.0100000000002</v>
      </c>
      <c r="L23" s="90">
        <f t="shared" si="0"/>
        <v>2381.0079999999998</v>
      </c>
      <c r="M23" s="70">
        <v>11.2</v>
      </c>
      <c r="N23" s="71">
        <f t="shared" si="1"/>
        <v>2381.0079999999998</v>
      </c>
      <c r="O23" s="72"/>
      <c r="P23" s="73">
        <f t="shared" si="2"/>
        <v>0</v>
      </c>
      <c r="Q23" s="70">
        <f>O23+M23</f>
        <v>11.2</v>
      </c>
      <c r="R23" s="74">
        <f>Q23*J23</f>
        <v>2381.0079999999998</v>
      </c>
      <c r="S23" s="75">
        <f>R23/K23</f>
        <v>0.99999916002032729</v>
      </c>
      <c r="T23" s="76">
        <f>H23-Q23</f>
        <v>0</v>
      </c>
      <c r="U23" s="77">
        <f>T23*J23</f>
        <v>0</v>
      </c>
      <c r="V23" s="78">
        <f>T23/H23</f>
        <v>0</v>
      </c>
    </row>
    <row r="24" spans="2:22" s="5" customFormat="1" ht="24.15" customHeight="1" x14ac:dyDescent="0.35">
      <c r="B24" s="4"/>
      <c r="C24" s="28" t="s">
        <v>30</v>
      </c>
      <c r="D24" s="28" t="s">
        <v>32</v>
      </c>
      <c r="E24" s="29" t="s">
        <v>231</v>
      </c>
      <c r="F24" s="30" t="s">
        <v>232</v>
      </c>
      <c r="G24" s="31" t="s">
        <v>207</v>
      </c>
      <c r="H24" s="32">
        <v>28</v>
      </c>
      <c r="I24" s="32">
        <v>28</v>
      </c>
      <c r="J24" s="33">
        <v>20.059999999999999</v>
      </c>
      <c r="K24" s="34">
        <f>ROUND(J24*H24,2)</f>
        <v>561.67999999999995</v>
      </c>
      <c r="L24" s="90">
        <f t="shared" si="0"/>
        <v>561.67999999999995</v>
      </c>
      <c r="M24" s="70">
        <v>28</v>
      </c>
      <c r="N24" s="71">
        <f t="shared" si="1"/>
        <v>561.67999999999995</v>
      </c>
      <c r="O24" s="72"/>
      <c r="P24" s="73">
        <f t="shared" si="2"/>
        <v>0</v>
      </c>
      <c r="Q24" s="70">
        <f>O24+M24</f>
        <v>28</v>
      </c>
      <c r="R24" s="74">
        <f>Q24*J24</f>
        <v>561.67999999999995</v>
      </c>
      <c r="S24" s="75">
        <f>R24/K24</f>
        <v>1</v>
      </c>
      <c r="T24" s="76">
        <f>H24-Q24</f>
        <v>0</v>
      </c>
      <c r="U24" s="77">
        <f>T24*J24</f>
        <v>0</v>
      </c>
      <c r="V24" s="78">
        <f>T24/H24</f>
        <v>0</v>
      </c>
    </row>
    <row r="25" spans="2:22" s="23" customFormat="1" ht="23" customHeight="1" x14ac:dyDescent="0.25">
      <c r="B25" s="22"/>
      <c r="D25" s="24" t="s">
        <v>27</v>
      </c>
      <c r="E25" s="36" t="s">
        <v>41</v>
      </c>
      <c r="F25" s="36" t="s">
        <v>720</v>
      </c>
      <c r="J25" s="26"/>
      <c r="K25" s="37">
        <f>SUM(K26:K28)</f>
        <v>228535.26</v>
      </c>
      <c r="L25" s="37">
        <f>SUM(L26:L28)</f>
        <v>228535.26</v>
      </c>
      <c r="N25" s="37">
        <f>SUM(N26:N28)</f>
        <v>228535.26</v>
      </c>
      <c r="P25" s="37">
        <f>SUM(P26:P28)</f>
        <v>0</v>
      </c>
      <c r="R25" s="37">
        <f>SUM(R26:R28)</f>
        <v>228535.26</v>
      </c>
      <c r="U25" s="37">
        <f>SUM(U26:U28)</f>
        <v>0</v>
      </c>
    </row>
    <row r="26" spans="2:22" s="5" customFormat="1" ht="24.15" customHeight="1" x14ac:dyDescent="0.35">
      <c r="B26" s="4"/>
      <c r="C26" s="28" t="s">
        <v>46</v>
      </c>
      <c r="D26" s="28" t="s">
        <v>32</v>
      </c>
      <c r="E26" s="29" t="s">
        <v>721</v>
      </c>
      <c r="F26" s="30" t="s">
        <v>722</v>
      </c>
      <c r="G26" s="31" t="s">
        <v>214</v>
      </c>
      <c r="H26" s="32">
        <v>18</v>
      </c>
      <c r="I26" s="32">
        <v>18</v>
      </c>
      <c r="J26" s="33">
        <v>2406.71</v>
      </c>
      <c r="K26" s="34">
        <f>ROUND(J26*H26,2)</f>
        <v>43320.78</v>
      </c>
      <c r="L26" s="90">
        <f t="shared" si="0"/>
        <v>43320.78</v>
      </c>
      <c r="M26" s="70">
        <v>18</v>
      </c>
      <c r="N26" s="71">
        <f t="shared" si="1"/>
        <v>43320.78</v>
      </c>
      <c r="O26" s="72"/>
      <c r="P26" s="73">
        <f t="shared" si="2"/>
        <v>0</v>
      </c>
      <c r="Q26" s="70">
        <f>O26+M26</f>
        <v>18</v>
      </c>
      <c r="R26" s="74">
        <f>Q26*J26</f>
        <v>43320.78</v>
      </c>
      <c r="S26" s="75">
        <f>R26/K26</f>
        <v>1</v>
      </c>
      <c r="T26" s="76">
        <f>H26-Q26</f>
        <v>0</v>
      </c>
      <c r="U26" s="77">
        <f>T26*J26</f>
        <v>0</v>
      </c>
      <c r="V26" s="78">
        <f>T26/H26</f>
        <v>0</v>
      </c>
    </row>
    <row r="27" spans="2:22" s="5" customFormat="1" ht="24.15" customHeight="1" x14ac:dyDescent="0.35">
      <c r="B27" s="4"/>
      <c r="C27" s="38" t="s">
        <v>49</v>
      </c>
      <c r="D27" s="38" t="s">
        <v>193</v>
      </c>
      <c r="E27" s="39" t="s">
        <v>723</v>
      </c>
      <c r="F27" s="40" t="s">
        <v>724</v>
      </c>
      <c r="G27" s="41" t="s">
        <v>73</v>
      </c>
      <c r="H27" s="42">
        <v>8</v>
      </c>
      <c r="I27" s="42">
        <v>8</v>
      </c>
      <c r="J27" s="43">
        <v>9851.4599999999991</v>
      </c>
      <c r="K27" s="44">
        <f>ROUND(J27*H27,2)</f>
        <v>78811.679999999993</v>
      </c>
      <c r="L27" s="90">
        <f t="shared" si="0"/>
        <v>78811.679999999993</v>
      </c>
      <c r="M27" s="70">
        <v>8</v>
      </c>
      <c r="N27" s="71">
        <f t="shared" si="1"/>
        <v>78811.679999999993</v>
      </c>
      <c r="O27" s="72"/>
      <c r="P27" s="73">
        <f t="shared" si="2"/>
        <v>0</v>
      </c>
      <c r="Q27" s="70">
        <f>O27+M27</f>
        <v>8</v>
      </c>
      <c r="R27" s="74">
        <f>Q27*J27</f>
        <v>78811.679999999993</v>
      </c>
      <c r="S27" s="75">
        <f>R27/K27</f>
        <v>1</v>
      </c>
      <c r="T27" s="76">
        <f>H27-Q27</f>
        <v>0</v>
      </c>
      <c r="U27" s="77">
        <f>T27*J27</f>
        <v>0</v>
      </c>
      <c r="V27" s="78">
        <f>T27/H27</f>
        <v>0</v>
      </c>
    </row>
    <row r="28" spans="2:22" s="5" customFormat="1" ht="24.15" customHeight="1" x14ac:dyDescent="0.35">
      <c r="B28" s="4"/>
      <c r="C28" s="38" t="s">
        <v>52</v>
      </c>
      <c r="D28" s="38" t="s">
        <v>193</v>
      </c>
      <c r="E28" s="39" t="s">
        <v>725</v>
      </c>
      <c r="F28" s="40" t="s">
        <v>726</v>
      </c>
      <c r="G28" s="41" t="s">
        <v>73</v>
      </c>
      <c r="H28" s="42">
        <v>10</v>
      </c>
      <c r="I28" s="42">
        <v>10</v>
      </c>
      <c r="J28" s="43">
        <v>10640.28</v>
      </c>
      <c r="K28" s="44">
        <f>ROUND(J28*H28,2)</f>
        <v>106402.8</v>
      </c>
      <c r="L28" s="90">
        <f t="shared" si="0"/>
        <v>106402.8</v>
      </c>
      <c r="M28" s="70">
        <v>10</v>
      </c>
      <c r="N28" s="71">
        <f t="shared" si="1"/>
        <v>106402.8</v>
      </c>
      <c r="O28" s="72"/>
      <c r="P28" s="73">
        <f t="shared" si="2"/>
        <v>0</v>
      </c>
      <c r="Q28" s="70">
        <f>O28+M28</f>
        <v>10</v>
      </c>
      <c r="R28" s="74">
        <f>Q28*J28</f>
        <v>106402.8</v>
      </c>
      <c r="S28" s="75">
        <f>R28/K28</f>
        <v>1</v>
      </c>
      <c r="T28" s="76">
        <f>H28-Q28</f>
        <v>0</v>
      </c>
      <c r="U28" s="77">
        <f>T28*J28</f>
        <v>0</v>
      </c>
      <c r="V28" s="78">
        <f>T28/H28</f>
        <v>0</v>
      </c>
    </row>
    <row r="29" spans="2:22" s="23" customFormat="1" ht="23" customHeight="1" x14ac:dyDescent="0.25">
      <c r="B29" s="22"/>
      <c r="D29" s="24" t="s">
        <v>27</v>
      </c>
      <c r="E29" s="36" t="s">
        <v>30</v>
      </c>
      <c r="F29" s="36" t="s">
        <v>233</v>
      </c>
      <c r="J29" s="26"/>
      <c r="K29" s="37">
        <f>SUM(K30:K33)</f>
        <v>13183.140000000001</v>
      </c>
      <c r="L29" s="37">
        <f>SUM(L30:L33)+0.01</f>
        <v>13183.142320000001</v>
      </c>
      <c r="N29" s="37">
        <f>SUM(N30:N33)</f>
        <v>13183.132320000001</v>
      </c>
      <c r="P29" s="37">
        <f>SUM(P30:P33)</f>
        <v>0</v>
      </c>
      <c r="R29" s="37">
        <f>SUM(R30:R33)</f>
        <v>13183.132320000001</v>
      </c>
      <c r="U29" s="37">
        <f>SUM(U30:U33)</f>
        <v>0</v>
      </c>
    </row>
    <row r="30" spans="2:22" s="5" customFormat="1" ht="21.75" customHeight="1" x14ac:dyDescent="0.35">
      <c r="B30" s="4"/>
      <c r="C30" s="28" t="s">
        <v>55</v>
      </c>
      <c r="D30" s="28" t="s">
        <v>32</v>
      </c>
      <c r="E30" s="29" t="s">
        <v>727</v>
      </c>
      <c r="F30" s="30" t="s">
        <v>728</v>
      </c>
      <c r="G30" s="31" t="s">
        <v>207</v>
      </c>
      <c r="H30" s="32">
        <v>4.2</v>
      </c>
      <c r="I30" s="32">
        <v>4.2</v>
      </c>
      <c r="J30" s="33">
        <v>160.44</v>
      </c>
      <c r="K30" s="34">
        <f>ROUND(J30*H30,2)</f>
        <v>673.85</v>
      </c>
      <c r="L30" s="90">
        <f t="shared" si="0"/>
        <v>673.84800000000007</v>
      </c>
      <c r="M30" s="70">
        <v>4.2</v>
      </c>
      <c r="N30" s="71">
        <f t="shared" si="1"/>
        <v>673.84800000000007</v>
      </c>
      <c r="O30" s="72"/>
      <c r="P30" s="73">
        <f t="shared" si="2"/>
        <v>0</v>
      </c>
      <c r="Q30" s="70">
        <f>O30+M30</f>
        <v>4.2</v>
      </c>
      <c r="R30" s="74">
        <f>Q30*J30</f>
        <v>673.84800000000007</v>
      </c>
      <c r="S30" s="75">
        <f>R30/K30</f>
        <v>0.99999703198041112</v>
      </c>
      <c r="T30" s="76">
        <f>H30-Q30</f>
        <v>0</v>
      </c>
      <c r="U30" s="77">
        <f>T30*J30</f>
        <v>0</v>
      </c>
      <c r="V30" s="78">
        <f>T30/H30</f>
        <v>0</v>
      </c>
    </row>
    <row r="31" spans="2:22" s="5" customFormat="1" ht="21.75" customHeight="1" x14ac:dyDescent="0.35">
      <c r="B31" s="4"/>
      <c r="C31" s="28" t="s">
        <v>58</v>
      </c>
      <c r="D31" s="28" t="s">
        <v>32</v>
      </c>
      <c r="E31" s="29" t="s">
        <v>729</v>
      </c>
      <c r="F31" s="30" t="s">
        <v>730</v>
      </c>
      <c r="G31" s="31" t="s">
        <v>207</v>
      </c>
      <c r="H31" s="32">
        <v>20.8</v>
      </c>
      <c r="I31" s="32">
        <v>20.8</v>
      </c>
      <c r="J31" s="33">
        <v>207.24</v>
      </c>
      <c r="K31" s="34">
        <f>ROUND(J31*H31,2)</f>
        <v>4310.59</v>
      </c>
      <c r="L31" s="90">
        <f t="shared" si="0"/>
        <v>4310.5920000000006</v>
      </c>
      <c r="M31" s="70">
        <v>20.8</v>
      </c>
      <c r="N31" s="71">
        <f t="shared" si="1"/>
        <v>4310.5920000000006</v>
      </c>
      <c r="O31" s="72"/>
      <c r="P31" s="73">
        <f t="shared" si="2"/>
        <v>0</v>
      </c>
      <c r="Q31" s="70">
        <f>O31+M31</f>
        <v>20.8</v>
      </c>
      <c r="R31" s="74">
        <f>Q31*J31</f>
        <v>4310.5920000000006</v>
      </c>
      <c r="S31" s="75">
        <f>R31/K31</f>
        <v>1.0000004639736093</v>
      </c>
      <c r="T31" s="76">
        <f>H31-Q31</f>
        <v>0</v>
      </c>
      <c r="U31" s="77">
        <f>T31*J31</f>
        <v>0</v>
      </c>
      <c r="V31" s="78">
        <f>T31/H31</f>
        <v>0</v>
      </c>
    </row>
    <row r="32" spans="2:22" s="5" customFormat="1" ht="33" customHeight="1" x14ac:dyDescent="0.35">
      <c r="B32" s="4"/>
      <c r="C32" s="28" t="s">
        <v>61</v>
      </c>
      <c r="D32" s="28" t="s">
        <v>32</v>
      </c>
      <c r="E32" s="29" t="s">
        <v>731</v>
      </c>
      <c r="F32" s="30" t="s">
        <v>732</v>
      </c>
      <c r="G32" s="31" t="s">
        <v>207</v>
      </c>
      <c r="H32" s="32">
        <v>10.4</v>
      </c>
      <c r="I32" s="32">
        <v>10.4</v>
      </c>
      <c r="J32" s="33">
        <v>347.64</v>
      </c>
      <c r="K32" s="34">
        <f>ROUND(J32*H32,2)</f>
        <v>3615.46</v>
      </c>
      <c r="L32" s="90">
        <f t="shared" si="0"/>
        <v>3615.4560000000001</v>
      </c>
      <c r="M32" s="70">
        <v>10.4</v>
      </c>
      <c r="N32" s="71">
        <f t="shared" si="1"/>
        <v>3615.4560000000001</v>
      </c>
      <c r="O32" s="72"/>
      <c r="P32" s="73">
        <f t="shared" si="2"/>
        <v>0</v>
      </c>
      <c r="Q32" s="70">
        <f>O32+M32</f>
        <v>10.4</v>
      </c>
      <c r="R32" s="74">
        <f>Q32*J32</f>
        <v>3615.4560000000001</v>
      </c>
      <c r="S32" s="75">
        <f>R32/K32</f>
        <v>0.99999889364009009</v>
      </c>
      <c r="T32" s="76">
        <f>H32-Q32</f>
        <v>0</v>
      </c>
      <c r="U32" s="77">
        <f>T32*J32</f>
        <v>0</v>
      </c>
      <c r="V32" s="78">
        <f>T32/H32</f>
        <v>0</v>
      </c>
    </row>
    <row r="33" spans="2:22" s="5" customFormat="1" ht="16.5" customHeight="1" x14ac:dyDescent="0.35">
      <c r="B33" s="4"/>
      <c r="C33" s="38" t="s">
        <v>64</v>
      </c>
      <c r="D33" s="38" t="s">
        <v>193</v>
      </c>
      <c r="E33" s="39" t="s">
        <v>733</v>
      </c>
      <c r="F33" s="40" t="s">
        <v>734</v>
      </c>
      <c r="G33" s="41" t="s">
        <v>207</v>
      </c>
      <c r="H33" s="42">
        <v>10.712</v>
      </c>
      <c r="I33" s="42">
        <v>10.712</v>
      </c>
      <c r="J33" s="43">
        <v>427.86</v>
      </c>
      <c r="K33" s="44">
        <f>ROUND(J33*H33,2)</f>
        <v>4583.24</v>
      </c>
      <c r="L33" s="90">
        <f t="shared" si="0"/>
        <v>4583.23632</v>
      </c>
      <c r="M33" s="70">
        <v>10.712</v>
      </c>
      <c r="N33" s="71">
        <f t="shared" si="1"/>
        <v>4583.23632</v>
      </c>
      <c r="O33" s="72"/>
      <c r="P33" s="73">
        <f t="shared" si="2"/>
        <v>0</v>
      </c>
      <c r="Q33" s="70">
        <f>O33+M33</f>
        <v>10.712</v>
      </c>
      <c r="R33" s="74">
        <f>Q33*J33</f>
        <v>4583.23632</v>
      </c>
      <c r="S33" s="75">
        <f>R33/K33</f>
        <v>0.99999919707455864</v>
      </c>
      <c r="T33" s="76">
        <f>H33-Q33</f>
        <v>0</v>
      </c>
      <c r="U33" s="77">
        <f>T33*J33</f>
        <v>0</v>
      </c>
      <c r="V33" s="78">
        <f>T33/H33</f>
        <v>0</v>
      </c>
    </row>
    <row r="34" spans="2:22" s="23" customFormat="1" ht="23" customHeight="1" x14ac:dyDescent="0.25">
      <c r="B34" s="22"/>
      <c r="D34" s="24" t="s">
        <v>27</v>
      </c>
      <c r="E34" s="36" t="s">
        <v>259</v>
      </c>
      <c r="F34" s="36" t="s">
        <v>260</v>
      </c>
      <c r="J34" s="26"/>
      <c r="K34" s="37">
        <f>SUM(K35)</f>
        <v>2045.36</v>
      </c>
      <c r="L34" s="37">
        <f>SUM(L35)</f>
        <v>2045.3618700000002</v>
      </c>
      <c r="N34" s="37">
        <f>SUM(N35)</f>
        <v>2045.3618700000002</v>
      </c>
      <c r="P34" s="37">
        <f>SUM(P35)</f>
        <v>0</v>
      </c>
      <c r="R34" s="37">
        <f>SUM(R35)</f>
        <v>2045.3618700000002</v>
      </c>
      <c r="U34" s="37">
        <f>SUM(U35)</f>
        <v>0</v>
      </c>
    </row>
    <row r="35" spans="2:22" s="5" customFormat="1" ht="24.15" customHeight="1" x14ac:dyDescent="0.35">
      <c r="B35" s="4"/>
      <c r="C35" s="28" t="s">
        <v>130</v>
      </c>
      <c r="D35" s="28" t="s">
        <v>32</v>
      </c>
      <c r="E35" s="29" t="s">
        <v>261</v>
      </c>
      <c r="F35" s="30" t="s">
        <v>262</v>
      </c>
      <c r="G35" s="31" t="s">
        <v>223</v>
      </c>
      <c r="H35" s="32">
        <v>15.297000000000001</v>
      </c>
      <c r="I35" s="32">
        <v>15.297000000000001</v>
      </c>
      <c r="J35" s="33">
        <v>133.71</v>
      </c>
      <c r="K35" s="34">
        <f>ROUND(J35*H35,2)</f>
        <v>2045.36</v>
      </c>
      <c r="L35" s="90">
        <f t="shared" si="0"/>
        <v>2045.3618700000002</v>
      </c>
      <c r="M35" s="70">
        <v>15.297000000000001</v>
      </c>
      <c r="N35" s="71">
        <f t="shared" si="1"/>
        <v>2045.3618700000002</v>
      </c>
      <c r="O35" s="72"/>
      <c r="P35" s="73">
        <f t="shared" si="2"/>
        <v>0</v>
      </c>
      <c r="Q35" s="70">
        <f>O35+M35</f>
        <v>15.297000000000001</v>
      </c>
      <c r="R35" s="74">
        <f>Q35*J35</f>
        <v>2045.3618700000002</v>
      </c>
      <c r="S35" s="75">
        <f>R35/K35</f>
        <v>1.0000009142644817</v>
      </c>
      <c r="T35" s="76">
        <f>H35-Q35</f>
        <v>0</v>
      </c>
      <c r="U35" s="77">
        <f>T35*J35</f>
        <v>0</v>
      </c>
      <c r="V35" s="78">
        <f>T35/H35</f>
        <v>0</v>
      </c>
    </row>
    <row r="36" spans="2:22" s="5" customFormat="1" ht="6.9" customHeight="1" x14ac:dyDescent="0.35">
      <c r="B36" s="11"/>
      <c r="C36" s="12"/>
      <c r="D36" s="12"/>
      <c r="E36" s="12"/>
      <c r="F36" s="12"/>
      <c r="G36" s="12"/>
      <c r="H36" s="12"/>
      <c r="I36" s="12"/>
      <c r="J36" s="12"/>
      <c r="K36" s="12"/>
    </row>
  </sheetData>
  <autoFilter ref="K2:K36" xr:uid="{64D0B700-8C1E-44D8-9F70-50A441FBB1B0}"/>
  <mergeCells count="7">
    <mergeCell ref="T16:V16"/>
    <mergeCell ref="E10:H10"/>
    <mergeCell ref="E6:H6"/>
    <mergeCell ref="E8:H8"/>
    <mergeCell ref="M16:N16"/>
    <mergeCell ref="O16:P16"/>
    <mergeCell ref="Q16:S16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C5BD-3E18-49DD-BFA0-7BDD54424F28}">
  <sheetPr>
    <pageSetUpPr fitToPage="1"/>
  </sheetPr>
  <dimension ref="B2:V120"/>
  <sheetViews>
    <sheetView view="pageBreakPreview" topLeftCell="A22" zoomScaleNormal="100" zoomScaleSheetLayoutView="100" workbookViewId="0">
      <selection activeCell="L15" sqref="L15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2" width="18.26953125" customWidth="1"/>
    <col min="14" max="14" width="13.453125" customWidth="1"/>
    <col min="16" max="16" width="14.36328125" customWidth="1"/>
    <col min="18" max="18" width="14.453125" customWidth="1"/>
    <col min="21" max="21" width="14.1796875" customWidth="1"/>
  </cols>
  <sheetData>
    <row r="2" spans="2:22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2" s="5" customFormat="1" ht="24.9" customHeight="1" x14ac:dyDescent="0.35">
      <c r="B3" s="4"/>
      <c r="C3" s="2" t="s">
        <v>18</v>
      </c>
    </row>
    <row r="4" spans="2:22" s="5" customFormat="1" ht="6.9" customHeight="1" x14ac:dyDescent="0.35">
      <c r="B4" s="4"/>
    </row>
    <row r="5" spans="2:22" s="5" customFormat="1" ht="12" customHeight="1" x14ac:dyDescent="0.35">
      <c r="B5" s="4"/>
      <c r="C5" s="3" t="s">
        <v>1</v>
      </c>
    </row>
    <row r="6" spans="2:22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2" ht="12" customHeight="1" x14ac:dyDescent="0.35">
      <c r="B7" s="1"/>
      <c r="C7" s="3" t="s">
        <v>2</v>
      </c>
    </row>
    <row r="8" spans="2:22" s="5" customFormat="1" ht="16.5" customHeight="1" x14ac:dyDescent="0.35">
      <c r="B8" s="4"/>
      <c r="E8" s="177" t="s">
        <v>263</v>
      </c>
      <c r="F8" s="183"/>
      <c r="G8" s="183"/>
      <c r="H8" s="183"/>
    </row>
    <row r="9" spans="2:22" s="5" customFormat="1" ht="12" customHeight="1" x14ac:dyDescent="0.35">
      <c r="B9" s="4"/>
      <c r="C9" s="3" t="s">
        <v>4</v>
      </c>
    </row>
    <row r="10" spans="2:22" s="5" customFormat="1" ht="16.5" customHeight="1" x14ac:dyDescent="0.35">
      <c r="B10" s="4"/>
      <c r="E10" s="184" t="s">
        <v>1054</v>
      </c>
      <c r="F10" s="185"/>
      <c r="G10" s="185"/>
      <c r="H10" s="185"/>
      <c r="I10" s="137"/>
    </row>
    <row r="11" spans="2:22" s="5" customFormat="1" ht="6.9" customHeight="1" x14ac:dyDescent="0.35">
      <c r="B11" s="4"/>
    </row>
    <row r="12" spans="2:22" s="5" customFormat="1" ht="12" customHeight="1" x14ac:dyDescent="0.35">
      <c r="B12" s="4"/>
      <c r="C12" s="3" t="s">
        <v>7</v>
      </c>
      <c r="F12" s="6"/>
      <c r="J12" s="3" t="s">
        <v>9</v>
      </c>
      <c r="K12" s="7"/>
      <c r="L12" s="7"/>
    </row>
    <row r="13" spans="2:22" s="5" customFormat="1" ht="6.9" customHeight="1" x14ac:dyDescent="0.35">
      <c r="B13" s="4"/>
    </row>
    <row r="14" spans="2:22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</row>
    <row r="15" spans="2:22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</row>
    <row r="16" spans="2:22" s="5" customFormat="1" ht="26" customHeight="1" thickBot="1" x14ac:dyDescent="0.4">
      <c r="B16" s="4"/>
      <c r="M16" s="179" t="s">
        <v>1064</v>
      </c>
      <c r="N16" s="180"/>
      <c r="O16" s="179" t="s">
        <v>1068</v>
      </c>
      <c r="P16" s="180"/>
      <c r="Q16" s="179" t="s">
        <v>1066</v>
      </c>
      <c r="R16" s="181"/>
      <c r="S16" s="180"/>
      <c r="T16" s="179" t="s">
        <v>1067</v>
      </c>
      <c r="U16" s="181"/>
      <c r="V16" s="182"/>
    </row>
    <row r="17" spans="2:22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57" t="s">
        <v>1069</v>
      </c>
      <c r="N17" s="58" t="s">
        <v>1070</v>
      </c>
      <c r="O17" s="57" t="s">
        <v>1069</v>
      </c>
      <c r="P17" s="59" t="s">
        <v>1070</v>
      </c>
      <c r="Q17" s="57" t="s">
        <v>1069</v>
      </c>
      <c r="R17" s="58" t="s">
        <v>1070</v>
      </c>
      <c r="S17" s="59" t="s">
        <v>1071</v>
      </c>
      <c r="T17" s="60" t="s">
        <v>1069</v>
      </c>
      <c r="U17" s="58" t="s">
        <v>1070</v>
      </c>
      <c r="V17" s="61" t="s">
        <v>1071</v>
      </c>
    </row>
    <row r="18" spans="2:22" s="5" customFormat="1" ht="23" customHeight="1" x14ac:dyDescent="0.35">
      <c r="B18" s="4"/>
      <c r="C18" s="20" t="s">
        <v>26</v>
      </c>
      <c r="K18" s="21">
        <f>SUM(K19,K32,K37)</f>
        <v>1296008.9700000002</v>
      </c>
      <c r="L18" s="21">
        <f>SUM(L19,L32,L37,L113)</f>
        <v>1434888.2074000002</v>
      </c>
      <c r="M18" s="4"/>
      <c r="N18" s="21">
        <f>SUM(N19,N32,N37)</f>
        <v>1061221.3080000002</v>
      </c>
      <c r="O18" s="63"/>
      <c r="P18" s="21">
        <f>SUM(P19,P32,P37)</f>
        <v>0</v>
      </c>
      <c r="Q18" s="64"/>
      <c r="R18" s="21">
        <f>SUM(R19,R32,R37)</f>
        <v>1061221.3080000002</v>
      </c>
      <c r="S18" s="64"/>
      <c r="T18" s="63"/>
      <c r="U18" s="21">
        <f>SUM(U19,U32,U37)</f>
        <v>234787.66199999998</v>
      </c>
    </row>
    <row r="19" spans="2:22" s="23" customFormat="1" ht="26" customHeight="1" x14ac:dyDescent="0.35">
      <c r="B19" s="22"/>
      <c r="D19" s="24" t="s">
        <v>27</v>
      </c>
      <c r="E19" s="25" t="s">
        <v>81</v>
      </c>
      <c r="F19" s="25" t="s">
        <v>562</v>
      </c>
      <c r="J19" s="26"/>
      <c r="K19" s="27">
        <f>SUM(K20:K31)</f>
        <v>173443.49</v>
      </c>
      <c r="L19" s="27">
        <f>SUM(L20:L31)</f>
        <v>173443.49</v>
      </c>
      <c r="M19" s="65"/>
      <c r="N19" s="27">
        <f>SUM(N20:N31)</f>
        <v>112259.63</v>
      </c>
      <c r="O19" s="67"/>
      <c r="P19" s="27">
        <f>SUM(P20:P31)</f>
        <v>0</v>
      </c>
      <c r="Q19" s="68"/>
      <c r="R19" s="27">
        <f>SUM(R20:R31)</f>
        <v>112259.63</v>
      </c>
      <c r="S19" s="68"/>
      <c r="T19" s="67"/>
      <c r="U19" s="27">
        <f>SUM(U20:U31)</f>
        <v>61183.860000000008</v>
      </c>
      <c r="V19" s="69"/>
    </row>
    <row r="20" spans="2:22" s="5" customFormat="1" ht="33" customHeight="1" x14ac:dyDescent="0.35">
      <c r="B20" s="4"/>
      <c r="C20" s="28" t="s">
        <v>31</v>
      </c>
      <c r="D20" s="28" t="s">
        <v>32</v>
      </c>
      <c r="E20" s="29" t="s">
        <v>83</v>
      </c>
      <c r="F20" s="30" t="s">
        <v>563</v>
      </c>
      <c r="G20" s="31" t="s">
        <v>272</v>
      </c>
      <c r="H20" s="32">
        <v>1</v>
      </c>
      <c r="I20" s="32">
        <v>1</v>
      </c>
      <c r="J20" s="33">
        <v>56357.05</v>
      </c>
      <c r="K20" s="34">
        <f t="shared" ref="K20:K31" si="0">ROUND(J20*H20,2)</f>
        <v>56357.05</v>
      </c>
      <c r="L20" s="90">
        <f>I20*J20</f>
        <v>56357.05</v>
      </c>
      <c r="M20" s="70">
        <v>1</v>
      </c>
      <c r="N20" s="71">
        <f>M20*J20</f>
        <v>56357.05</v>
      </c>
      <c r="O20" s="72"/>
      <c r="P20" s="73">
        <f t="shared" ref="P20:P31" si="1">O20*J20</f>
        <v>0</v>
      </c>
      <c r="Q20" s="70">
        <f>O20+M20</f>
        <v>1</v>
      </c>
      <c r="R20" s="74">
        <f>Q20*J20</f>
        <v>56357.05</v>
      </c>
      <c r="S20" s="75">
        <f>R20/K20</f>
        <v>1</v>
      </c>
      <c r="T20" s="76">
        <f>H20-Q20</f>
        <v>0</v>
      </c>
      <c r="U20" s="77">
        <f>T20*J20</f>
        <v>0</v>
      </c>
      <c r="V20" s="78">
        <f>T20/H20</f>
        <v>0</v>
      </c>
    </row>
    <row r="21" spans="2:22" s="5" customFormat="1" ht="16.5" customHeight="1" x14ac:dyDescent="0.35">
      <c r="B21" s="4"/>
      <c r="C21" s="28" t="s">
        <v>0</v>
      </c>
      <c r="D21" s="28" t="s">
        <v>32</v>
      </c>
      <c r="E21" s="29" t="s">
        <v>128</v>
      </c>
      <c r="F21" s="30" t="s">
        <v>564</v>
      </c>
      <c r="G21" s="31" t="s">
        <v>565</v>
      </c>
      <c r="H21" s="32">
        <v>1</v>
      </c>
      <c r="I21" s="32">
        <v>1</v>
      </c>
      <c r="J21" s="33">
        <v>16526.05</v>
      </c>
      <c r="K21" s="34">
        <f t="shared" si="0"/>
        <v>16526.05</v>
      </c>
      <c r="L21" s="90">
        <f t="shared" ref="L21:L84" si="2">I21*J21</f>
        <v>16526.05</v>
      </c>
      <c r="M21" s="70">
        <v>1</v>
      </c>
      <c r="N21" s="71">
        <f t="shared" ref="N21:N84" si="3">M21*J21</f>
        <v>16526.05</v>
      </c>
      <c r="O21" s="72"/>
      <c r="P21" s="73">
        <f t="shared" si="1"/>
        <v>0</v>
      </c>
      <c r="Q21" s="70">
        <f t="shared" ref="Q21:Q31" si="4">O21+M21</f>
        <v>1</v>
      </c>
      <c r="R21" s="74">
        <f t="shared" ref="R21:R31" si="5">Q21*J21</f>
        <v>16526.05</v>
      </c>
      <c r="S21" s="75">
        <f t="shared" ref="S21:S31" si="6">R21/K21</f>
        <v>1</v>
      </c>
      <c r="T21" s="76">
        <f t="shared" ref="T21:T31" si="7">H21-Q21</f>
        <v>0</v>
      </c>
      <c r="U21" s="77">
        <f t="shared" ref="U21:U31" si="8">T21*J21</f>
        <v>0</v>
      </c>
      <c r="V21" s="78">
        <f t="shared" ref="V21:V31" si="9">T21/H21</f>
        <v>0</v>
      </c>
    </row>
    <row r="22" spans="2:22" s="5" customFormat="1" ht="16.5" customHeight="1" x14ac:dyDescent="0.35">
      <c r="B22" s="4"/>
      <c r="C22" s="28" t="s">
        <v>38</v>
      </c>
      <c r="D22" s="28" t="s">
        <v>32</v>
      </c>
      <c r="E22" s="29" t="s">
        <v>131</v>
      </c>
      <c r="F22" s="30" t="s">
        <v>566</v>
      </c>
      <c r="G22" s="31" t="s">
        <v>565</v>
      </c>
      <c r="H22" s="32">
        <v>1</v>
      </c>
      <c r="I22" s="32">
        <v>1</v>
      </c>
      <c r="J22" s="33">
        <v>37571.370000000003</v>
      </c>
      <c r="K22" s="34">
        <f t="shared" si="0"/>
        <v>37571.370000000003</v>
      </c>
      <c r="L22" s="90">
        <f t="shared" si="2"/>
        <v>37571.370000000003</v>
      </c>
      <c r="M22" s="70">
        <v>1</v>
      </c>
      <c r="N22" s="71">
        <f t="shared" si="3"/>
        <v>37571.370000000003</v>
      </c>
      <c r="O22" s="72"/>
      <c r="P22" s="73">
        <f t="shared" si="1"/>
        <v>0</v>
      </c>
      <c r="Q22" s="70">
        <f t="shared" si="4"/>
        <v>1</v>
      </c>
      <c r="R22" s="74">
        <f t="shared" si="5"/>
        <v>37571.370000000003</v>
      </c>
      <c r="S22" s="75">
        <f t="shared" si="6"/>
        <v>1</v>
      </c>
      <c r="T22" s="76">
        <f t="shared" si="7"/>
        <v>0</v>
      </c>
      <c r="U22" s="77">
        <f t="shared" si="8"/>
        <v>0</v>
      </c>
      <c r="V22" s="78">
        <f t="shared" si="9"/>
        <v>0</v>
      </c>
    </row>
    <row r="23" spans="2:22" s="5" customFormat="1" ht="16.5" customHeight="1" x14ac:dyDescent="0.35">
      <c r="B23" s="4"/>
      <c r="C23" s="28" t="s">
        <v>41</v>
      </c>
      <c r="D23" s="28" t="s">
        <v>32</v>
      </c>
      <c r="E23" s="29" t="s">
        <v>134</v>
      </c>
      <c r="F23" s="30" t="s">
        <v>567</v>
      </c>
      <c r="G23" s="31" t="s">
        <v>565</v>
      </c>
      <c r="H23" s="32">
        <v>1</v>
      </c>
      <c r="I23" s="32">
        <v>1</v>
      </c>
      <c r="J23" s="33">
        <v>4679.71</v>
      </c>
      <c r="K23" s="34">
        <f t="shared" si="0"/>
        <v>4679.71</v>
      </c>
      <c r="L23" s="90">
        <f t="shared" si="2"/>
        <v>4679.71</v>
      </c>
      <c r="M23" s="70">
        <v>0</v>
      </c>
      <c r="N23" s="71">
        <f t="shared" si="3"/>
        <v>0</v>
      </c>
      <c r="O23" s="72"/>
      <c r="P23" s="73">
        <f t="shared" si="1"/>
        <v>0</v>
      </c>
      <c r="Q23" s="70">
        <f t="shared" si="4"/>
        <v>0</v>
      </c>
      <c r="R23" s="74">
        <f t="shared" si="5"/>
        <v>0</v>
      </c>
      <c r="S23" s="75">
        <f t="shared" si="6"/>
        <v>0</v>
      </c>
      <c r="T23" s="76">
        <f t="shared" si="7"/>
        <v>1</v>
      </c>
      <c r="U23" s="77">
        <f t="shared" si="8"/>
        <v>4679.71</v>
      </c>
      <c r="V23" s="78">
        <f t="shared" si="9"/>
        <v>1</v>
      </c>
    </row>
    <row r="24" spans="2:22" s="5" customFormat="1" ht="16.5" customHeight="1" x14ac:dyDescent="0.35">
      <c r="B24" s="4"/>
      <c r="C24" s="28" t="s">
        <v>30</v>
      </c>
      <c r="D24" s="28" t="s">
        <v>32</v>
      </c>
      <c r="E24" s="29" t="s">
        <v>88</v>
      </c>
      <c r="F24" s="30" t="s">
        <v>568</v>
      </c>
      <c r="G24" s="31" t="s">
        <v>272</v>
      </c>
      <c r="H24" s="32">
        <v>1</v>
      </c>
      <c r="I24" s="32">
        <v>1</v>
      </c>
      <c r="J24" s="33">
        <v>2607.27</v>
      </c>
      <c r="K24" s="34">
        <f t="shared" si="0"/>
        <v>2607.27</v>
      </c>
      <c r="L24" s="90">
        <f t="shared" si="2"/>
        <v>2607.27</v>
      </c>
      <c r="M24" s="70">
        <v>0</v>
      </c>
      <c r="N24" s="71">
        <f t="shared" si="3"/>
        <v>0</v>
      </c>
      <c r="O24" s="72"/>
      <c r="P24" s="73">
        <f t="shared" si="1"/>
        <v>0</v>
      </c>
      <c r="Q24" s="70">
        <f t="shared" si="4"/>
        <v>0</v>
      </c>
      <c r="R24" s="74">
        <f t="shared" si="5"/>
        <v>0</v>
      </c>
      <c r="S24" s="75">
        <f t="shared" si="6"/>
        <v>0</v>
      </c>
      <c r="T24" s="76">
        <f t="shared" si="7"/>
        <v>1</v>
      </c>
      <c r="U24" s="77">
        <f t="shared" si="8"/>
        <v>2607.27</v>
      </c>
      <c r="V24" s="78">
        <f t="shared" si="9"/>
        <v>1</v>
      </c>
    </row>
    <row r="25" spans="2:22" s="5" customFormat="1" ht="16.5" customHeight="1" x14ac:dyDescent="0.35">
      <c r="B25" s="4"/>
      <c r="C25" s="28" t="s">
        <v>46</v>
      </c>
      <c r="D25" s="28" t="s">
        <v>32</v>
      </c>
      <c r="E25" s="29" t="s">
        <v>92</v>
      </c>
      <c r="F25" s="30" t="s">
        <v>569</v>
      </c>
      <c r="G25" s="31" t="s">
        <v>509</v>
      </c>
      <c r="H25" s="32">
        <v>36</v>
      </c>
      <c r="I25" s="32">
        <v>36</v>
      </c>
      <c r="J25" s="33">
        <v>24.07</v>
      </c>
      <c r="K25" s="34">
        <f t="shared" si="0"/>
        <v>866.52</v>
      </c>
      <c r="L25" s="90">
        <f t="shared" si="2"/>
        <v>866.52</v>
      </c>
      <c r="M25" s="70">
        <v>36</v>
      </c>
      <c r="N25" s="71">
        <f t="shared" si="3"/>
        <v>866.52</v>
      </c>
      <c r="O25" s="72"/>
      <c r="P25" s="73">
        <f t="shared" si="1"/>
        <v>0</v>
      </c>
      <c r="Q25" s="70">
        <f t="shared" si="4"/>
        <v>36</v>
      </c>
      <c r="R25" s="74">
        <f t="shared" si="5"/>
        <v>866.52</v>
      </c>
      <c r="S25" s="75">
        <f t="shared" si="6"/>
        <v>1</v>
      </c>
      <c r="T25" s="76">
        <f t="shared" si="7"/>
        <v>0</v>
      </c>
      <c r="U25" s="77">
        <f t="shared" si="8"/>
        <v>0</v>
      </c>
      <c r="V25" s="78">
        <f t="shared" si="9"/>
        <v>0</v>
      </c>
    </row>
    <row r="26" spans="2:22" s="5" customFormat="1" ht="16.5" customHeight="1" x14ac:dyDescent="0.35">
      <c r="B26" s="4"/>
      <c r="C26" s="28" t="s">
        <v>49</v>
      </c>
      <c r="D26" s="28" t="s">
        <v>32</v>
      </c>
      <c r="E26" s="29" t="s">
        <v>95</v>
      </c>
      <c r="F26" s="30" t="s">
        <v>570</v>
      </c>
      <c r="G26" s="31" t="s">
        <v>509</v>
      </c>
      <c r="H26" s="32">
        <v>12</v>
      </c>
      <c r="I26" s="32">
        <v>12</v>
      </c>
      <c r="J26" s="33">
        <v>28.08</v>
      </c>
      <c r="K26" s="34">
        <f t="shared" si="0"/>
        <v>336.96</v>
      </c>
      <c r="L26" s="90">
        <f t="shared" si="2"/>
        <v>336.96</v>
      </c>
      <c r="M26" s="70">
        <v>12</v>
      </c>
      <c r="N26" s="71">
        <f t="shared" si="3"/>
        <v>336.96</v>
      </c>
      <c r="O26" s="72"/>
      <c r="P26" s="73">
        <f t="shared" si="1"/>
        <v>0</v>
      </c>
      <c r="Q26" s="70">
        <f t="shared" si="4"/>
        <v>12</v>
      </c>
      <c r="R26" s="74">
        <f t="shared" si="5"/>
        <v>336.96</v>
      </c>
      <c r="S26" s="75">
        <f t="shared" si="6"/>
        <v>1</v>
      </c>
      <c r="T26" s="76">
        <f t="shared" si="7"/>
        <v>0</v>
      </c>
      <c r="U26" s="77">
        <f t="shared" si="8"/>
        <v>0</v>
      </c>
      <c r="V26" s="78">
        <f t="shared" si="9"/>
        <v>0</v>
      </c>
    </row>
    <row r="27" spans="2:22" s="5" customFormat="1" ht="24.15" customHeight="1" x14ac:dyDescent="0.35">
      <c r="B27" s="4"/>
      <c r="C27" s="28" t="s">
        <v>52</v>
      </c>
      <c r="D27" s="28" t="s">
        <v>32</v>
      </c>
      <c r="E27" s="29" t="s">
        <v>97</v>
      </c>
      <c r="F27" s="30" t="s">
        <v>571</v>
      </c>
      <c r="G27" s="31" t="s">
        <v>272</v>
      </c>
      <c r="H27" s="32">
        <v>2</v>
      </c>
      <c r="I27" s="32">
        <v>2</v>
      </c>
      <c r="J27" s="33">
        <v>13183.41</v>
      </c>
      <c r="K27" s="34">
        <f t="shared" si="0"/>
        <v>26366.82</v>
      </c>
      <c r="L27" s="90">
        <f t="shared" si="2"/>
        <v>26366.82</v>
      </c>
      <c r="M27" s="70">
        <v>0</v>
      </c>
      <c r="N27" s="71">
        <f t="shared" si="3"/>
        <v>0</v>
      </c>
      <c r="O27" s="72"/>
      <c r="P27" s="73">
        <f t="shared" si="1"/>
        <v>0</v>
      </c>
      <c r="Q27" s="70">
        <f t="shared" si="4"/>
        <v>0</v>
      </c>
      <c r="R27" s="74">
        <f t="shared" si="5"/>
        <v>0</v>
      </c>
      <c r="S27" s="75">
        <f t="shared" si="6"/>
        <v>0</v>
      </c>
      <c r="T27" s="76">
        <f t="shared" si="7"/>
        <v>2</v>
      </c>
      <c r="U27" s="77">
        <f t="shared" si="8"/>
        <v>26366.82</v>
      </c>
      <c r="V27" s="78">
        <f t="shared" si="9"/>
        <v>1</v>
      </c>
    </row>
    <row r="28" spans="2:22" s="5" customFormat="1" ht="16.5" customHeight="1" x14ac:dyDescent="0.35">
      <c r="B28" s="4"/>
      <c r="C28" s="28" t="s">
        <v>55</v>
      </c>
      <c r="D28" s="28" t="s">
        <v>32</v>
      </c>
      <c r="E28" s="29" t="s">
        <v>99</v>
      </c>
      <c r="F28" s="30" t="s">
        <v>572</v>
      </c>
      <c r="G28" s="31" t="s">
        <v>272</v>
      </c>
      <c r="H28" s="32">
        <v>1</v>
      </c>
      <c r="I28" s="32">
        <v>1</v>
      </c>
      <c r="J28" s="33">
        <v>1644.58</v>
      </c>
      <c r="K28" s="34">
        <f t="shared" si="0"/>
        <v>1644.58</v>
      </c>
      <c r="L28" s="90">
        <f t="shared" si="2"/>
        <v>1644.58</v>
      </c>
      <c r="M28" s="70">
        <v>0</v>
      </c>
      <c r="N28" s="71">
        <f t="shared" si="3"/>
        <v>0</v>
      </c>
      <c r="O28" s="72"/>
      <c r="P28" s="73">
        <f t="shared" si="1"/>
        <v>0</v>
      </c>
      <c r="Q28" s="70">
        <f t="shared" si="4"/>
        <v>0</v>
      </c>
      <c r="R28" s="74">
        <f t="shared" si="5"/>
        <v>0</v>
      </c>
      <c r="S28" s="75">
        <f t="shared" si="6"/>
        <v>0</v>
      </c>
      <c r="T28" s="76">
        <f t="shared" si="7"/>
        <v>1</v>
      </c>
      <c r="U28" s="77">
        <f t="shared" si="8"/>
        <v>1644.58</v>
      </c>
      <c r="V28" s="78">
        <f t="shared" si="9"/>
        <v>1</v>
      </c>
    </row>
    <row r="29" spans="2:22" s="5" customFormat="1" ht="24.15" customHeight="1" x14ac:dyDescent="0.35">
      <c r="B29" s="4"/>
      <c r="C29" s="28" t="s">
        <v>58</v>
      </c>
      <c r="D29" s="28" t="s">
        <v>32</v>
      </c>
      <c r="E29" s="29" t="s">
        <v>101</v>
      </c>
      <c r="F29" s="30" t="s">
        <v>573</v>
      </c>
      <c r="G29" s="31" t="s">
        <v>272</v>
      </c>
      <c r="H29" s="32">
        <v>1</v>
      </c>
      <c r="I29" s="32">
        <v>1</v>
      </c>
      <c r="J29" s="33">
        <v>23398.55</v>
      </c>
      <c r="K29" s="34">
        <f t="shared" si="0"/>
        <v>23398.55</v>
      </c>
      <c r="L29" s="90">
        <f t="shared" si="2"/>
        <v>23398.55</v>
      </c>
      <c r="M29" s="70">
        <v>0</v>
      </c>
      <c r="N29" s="71">
        <f t="shared" si="3"/>
        <v>0</v>
      </c>
      <c r="O29" s="72"/>
      <c r="P29" s="73">
        <f t="shared" si="1"/>
        <v>0</v>
      </c>
      <c r="Q29" s="70">
        <f t="shared" si="4"/>
        <v>0</v>
      </c>
      <c r="R29" s="74">
        <f t="shared" si="5"/>
        <v>0</v>
      </c>
      <c r="S29" s="75">
        <f t="shared" si="6"/>
        <v>0</v>
      </c>
      <c r="T29" s="76">
        <f t="shared" si="7"/>
        <v>1</v>
      </c>
      <c r="U29" s="77">
        <f t="shared" si="8"/>
        <v>23398.55</v>
      </c>
      <c r="V29" s="78">
        <f t="shared" si="9"/>
        <v>1</v>
      </c>
    </row>
    <row r="30" spans="2:22" s="5" customFormat="1" ht="21.75" customHeight="1" x14ac:dyDescent="0.35">
      <c r="B30" s="4"/>
      <c r="C30" s="28" t="s">
        <v>61</v>
      </c>
      <c r="D30" s="28" t="s">
        <v>32</v>
      </c>
      <c r="E30" s="29" t="s">
        <v>164</v>
      </c>
      <c r="F30" s="30" t="s">
        <v>574</v>
      </c>
      <c r="G30" s="31" t="s">
        <v>565</v>
      </c>
      <c r="H30" s="32">
        <v>1</v>
      </c>
      <c r="I30" s="32">
        <v>1</v>
      </c>
      <c r="J30" s="33">
        <v>2486.9299999999998</v>
      </c>
      <c r="K30" s="34">
        <f t="shared" si="0"/>
        <v>2486.9299999999998</v>
      </c>
      <c r="L30" s="90">
        <f t="shared" si="2"/>
        <v>2486.9299999999998</v>
      </c>
      <c r="M30" s="70">
        <v>0</v>
      </c>
      <c r="N30" s="71">
        <f t="shared" si="3"/>
        <v>0</v>
      </c>
      <c r="O30" s="72"/>
      <c r="P30" s="73">
        <f t="shared" si="1"/>
        <v>0</v>
      </c>
      <c r="Q30" s="70">
        <f t="shared" si="4"/>
        <v>0</v>
      </c>
      <c r="R30" s="74">
        <f t="shared" si="5"/>
        <v>0</v>
      </c>
      <c r="S30" s="75">
        <f t="shared" si="6"/>
        <v>0</v>
      </c>
      <c r="T30" s="76">
        <f t="shared" si="7"/>
        <v>1</v>
      </c>
      <c r="U30" s="77">
        <f t="shared" si="8"/>
        <v>2486.9299999999998</v>
      </c>
      <c r="V30" s="78">
        <f t="shared" si="9"/>
        <v>1</v>
      </c>
    </row>
    <row r="31" spans="2:22" s="5" customFormat="1" ht="24.15" customHeight="1" x14ac:dyDescent="0.35">
      <c r="B31" s="4"/>
      <c r="C31" s="28" t="s">
        <v>64</v>
      </c>
      <c r="D31" s="28" t="s">
        <v>32</v>
      </c>
      <c r="E31" s="29" t="s">
        <v>167</v>
      </c>
      <c r="F31" s="30" t="s">
        <v>575</v>
      </c>
      <c r="G31" s="31" t="s">
        <v>272</v>
      </c>
      <c r="H31" s="32">
        <v>1</v>
      </c>
      <c r="I31" s="32">
        <v>1</v>
      </c>
      <c r="J31" s="33">
        <v>601.67999999999995</v>
      </c>
      <c r="K31" s="34">
        <f t="shared" si="0"/>
        <v>601.67999999999995</v>
      </c>
      <c r="L31" s="90">
        <f t="shared" si="2"/>
        <v>601.67999999999995</v>
      </c>
      <c r="M31" s="70">
        <v>1</v>
      </c>
      <c r="N31" s="71">
        <f t="shared" si="3"/>
        <v>601.67999999999995</v>
      </c>
      <c r="O31" s="72"/>
      <c r="P31" s="73">
        <f t="shared" si="1"/>
        <v>0</v>
      </c>
      <c r="Q31" s="70">
        <f t="shared" si="4"/>
        <v>1</v>
      </c>
      <c r="R31" s="74">
        <f t="shared" si="5"/>
        <v>601.67999999999995</v>
      </c>
      <c r="S31" s="75">
        <f t="shared" si="6"/>
        <v>1</v>
      </c>
      <c r="T31" s="76">
        <f t="shared" si="7"/>
        <v>0</v>
      </c>
      <c r="U31" s="77">
        <f t="shared" si="8"/>
        <v>0</v>
      </c>
      <c r="V31" s="78">
        <f t="shared" si="9"/>
        <v>0</v>
      </c>
    </row>
    <row r="32" spans="2:22" s="23" customFormat="1" ht="26" customHeight="1" x14ac:dyDescent="0.35">
      <c r="B32" s="22"/>
      <c r="D32" s="24" t="s">
        <v>27</v>
      </c>
      <c r="E32" s="25" t="s">
        <v>86</v>
      </c>
      <c r="F32" s="25" t="s">
        <v>576</v>
      </c>
      <c r="J32" s="26"/>
      <c r="K32" s="27">
        <f>SUM(K33:K36)</f>
        <v>141193.47999999998</v>
      </c>
      <c r="L32" s="27">
        <f>SUM(L33:L36)</f>
        <v>141193.47999999998</v>
      </c>
      <c r="N32" s="27">
        <f>SUM(N33:N36)</f>
        <v>104130.18799999999</v>
      </c>
      <c r="P32" s="27">
        <f>SUM(P33:P36)</f>
        <v>0</v>
      </c>
      <c r="R32" s="27">
        <f>SUM(R33:R36)</f>
        <v>104130.18799999999</v>
      </c>
      <c r="U32" s="27">
        <f>SUM(U33:U36)</f>
        <v>37063.291999999987</v>
      </c>
    </row>
    <row r="33" spans="2:22" s="5" customFormat="1" ht="16.5" customHeight="1" x14ac:dyDescent="0.35">
      <c r="B33" s="4"/>
      <c r="C33" s="28" t="s">
        <v>130</v>
      </c>
      <c r="D33" s="28" t="s">
        <v>32</v>
      </c>
      <c r="E33" s="29" t="s">
        <v>137</v>
      </c>
      <c r="F33" s="30" t="s">
        <v>577</v>
      </c>
      <c r="G33" s="31" t="s">
        <v>565</v>
      </c>
      <c r="H33" s="32">
        <v>1</v>
      </c>
      <c r="I33" s="32">
        <v>1</v>
      </c>
      <c r="J33" s="33">
        <v>125148.76</v>
      </c>
      <c r="K33" s="34">
        <f>ROUND(J33*H33,2)</f>
        <v>125148.76</v>
      </c>
      <c r="L33" s="90">
        <f t="shared" si="2"/>
        <v>125148.76</v>
      </c>
      <c r="M33" s="70">
        <v>0.8</v>
      </c>
      <c r="N33" s="71">
        <f t="shared" si="3"/>
        <v>100119.008</v>
      </c>
      <c r="O33" s="72"/>
      <c r="P33" s="73">
        <f>O33*J33</f>
        <v>0</v>
      </c>
      <c r="Q33" s="70">
        <f>O33+M33</f>
        <v>0.8</v>
      </c>
      <c r="R33" s="74">
        <f>Q33*J33</f>
        <v>100119.008</v>
      </c>
      <c r="S33" s="75">
        <f>R33/K33</f>
        <v>0.8</v>
      </c>
      <c r="T33" s="76">
        <f>H33-Q33</f>
        <v>0.19999999999999996</v>
      </c>
      <c r="U33" s="77">
        <f>T33*J33</f>
        <v>25029.751999999993</v>
      </c>
      <c r="V33" s="78">
        <f>T33/H33</f>
        <v>0.19999999999999996</v>
      </c>
    </row>
    <row r="34" spans="2:22" s="5" customFormat="1" ht="16.5" customHeight="1" x14ac:dyDescent="0.35">
      <c r="B34" s="4"/>
      <c r="C34" s="28" t="s">
        <v>133</v>
      </c>
      <c r="D34" s="28" t="s">
        <v>32</v>
      </c>
      <c r="E34" s="29" t="s">
        <v>141</v>
      </c>
      <c r="F34" s="30" t="s">
        <v>578</v>
      </c>
      <c r="G34" s="31" t="s">
        <v>579</v>
      </c>
      <c r="H34" s="32">
        <v>6</v>
      </c>
      <c r="I34" s="32">
        <v>6</v>
      </c>
      <c r="J34" s="33">
        <v>668.53</v>
      </c>
      <c r="K34" s="34">
        <f>ROUND(J34*H34,2)</f>
        <v>4011.18</v>
      </c>
      <c r="L34" s="90">
        <f t="shared" si="2"/>
        <v>4011.18</v>
      </c>
      <c r="M34" s="70">
        <v>6</v>
      </c>
      <c r="N34" s="71">
        <f t="shared" si="3"/>
        <v>4011.18</v>
      </c>
      <c r="O34" s="72"/>
      <c r="P34" s="73">
        <f>O34*J34</f>
        <v>0</v>
      </c>
      <c r="Q34" s="70">
        <f>O34+M34</f>
        <v>6</v>
      </c>
      <c r="R34" s="74">
        <f>Q34*J34</f>
        <v>4011.18</v>
      </c>
      <c r="S34" s="75">
        <f>R34/K34</f>
        <v>1</v>
      </c>
      <c r="T34" s="76">
        <f>H34-Q34</f>
        <v>0</v>
      </c>
      <c r="U34" s="77">
        <f>T34*J34</f>
        <v>0</v>
      </c>
      <c r="V34" s="78">
        <f>T34/H34</f>
        <v>0</v>
      </c>
    </row>
    <row r="35" spans="2:22" s="5" customFormat="1" ht="16.5" customHeight="1" x14ac:dyDescent="0.35">
      <c r="B35" s="4"/>
      <c r="C35" s="28" t="s">
        <v>136</v>
      </c>
      <c r="D35" s="28" t="s">
        <v>32</v>
      </c>
      <c r="E35" s="29" t="s">
        <v>144</v>
      </c>
      <c r="F35" s="30" t="s">
        <v>580</v>
      </c>
      <c r="G35" s="31" t="s">
        <v>579</v>
      </c>
      <c r="H35" s="32">
        <v>16</v>
      </c>
      <c r="I35" s="32">
        <v>16</v>
      </c>
      <c r="J35" s="33">
        <v>668.53</v>
      </c>
      <c r="K35" s="34">
        <f>ROUND(J35*H35,2)</f>
        <v>10696.48</v>
      </c>
      <c r="L35" s="90">
        <f t="shared" si="2"/>
        <v>10696.48</v>
      </c>
      <c r="M35" s="70">
        <v>0</v>
      </c>
      <c r="N35" s="71">
        <f t="shared" si="3"/>
        <v>0</v>
      </c>
      <c r="O35" s="72"/>
      <c r="P35" s="73">
        <f>O35*J35</f>
        <v>0</v>
      </c>
      <c r="Q35" s="70">
        <f>O35+M35</f>
        <v>0</v>
      </c>
      <c r="R35" s="74">
        <f>Q35*J35</f>
        <v>0</v>
      </c>
      <c r="S35" s="75">
        <f>R35/K35</f>
        <v>0</v>
      </c>
      <c r="T35" s="76">
        <f>H35-Q35</f>
        <v>16</v>
      </c>
      <c r="U35" s="77">
        <f>T35*J35</f>
        <v>10696.48</v>
      </c>
      <c r="V35" s="78">
        <f>T35/H35</f>
        <v>1</v>
      </c>
    </row>
    <row r="36" spans="2:22" s="5" customFormat="1" ht="16.5" customHeight="1" x14ac:dyDescent="0.35">
      <c r="B36" s="4"/>
      <c r="C36" s="28" t="s">
        <v>74</v>
      </c>
      <c r="D36" s="28" t="s">
        <v>32</v>
      </c>
      <c r="E36" s="29" t="s">
        <v>179</v>
      </c>
      <c r="F36" s="30" t="s">
        <v>581</v>
      </c>
      <c r="G36" s="31" t="s">
        <v>579</v>
      </c>
      <c r="H36" s="32">
        <v>2</v>
      </c>
      <c r="I36" s="32">
        <v>2</v>
      </c>
      <c r="J36" s="33">
        <v>668.53</v>
      </c>
      <c r="K36" s="34">
        <f>ROUND(J36*H36,2)</f>
        <v>1337.06</v>
      </c>
      <c r="L36" s="90">
        <f t="shared" si="2"/>
        <v>1337.06</v>
      </c>
      <c r="M36" s="70">
        <v>0</v>
      </c>
      <c r="N36" s="71">
        <f t="shared" si="3"/>
        <v>0</v>
      </c>
      <c r="O36" s="72"/>
      <c r="P36" s="73">
        <f>O36*J36</f>
        <v>0</v>
      </c>
      <c r="Q36" s="70">
        <f>O36+M36</f>
        <v>0</v>
      </c>
      <c r="R36" s="74">
        <f>Q36*J36</f>
        <v>0</v>
      </c>
      <c r="S36" s="75">
        <f>R36/K36</f>
        <v>0</v>
      </c>
      <c r="T36" s="76">
        <f>H36-Q36</f>
        <v>2</v>
      </c>
      <c r="U36" s="77">
        <f>T36*J36</f>
        <v>1337.06</v>
      </c>
      <c r="V36" s="78">
        <f>T36/H36</f>
        <v>1</v>
      </c>
    </row>
    <row r="37" spans="2:22" s="23" customFormat="1" ht="26" customHeight="1" x14ac:dyDescent="0.35">
      <c r="B37" s="22"/>
      <c r="D37" s="24" t="s">
        <v>27</v>
      </c>
      <c r="E37" s="25" t="s">
        <v>90</v>
      </c>
      <c r="F37" s="25" t="s">
        <v>582</v>
      </c>
      <c r="J37" s="26"/>
      <c r="K37" s="27">
        <f>SUM(K38:K111)</f>
        <v>981372.00000000023</v>
      </c>
      <c r="L37" s="27">
        <f>SUM(L38:L111)</f>
        <v>981372.00000000023</v>
      </c>
      <c r="N37" s="27">
        <f>SUM(N38:N111)</f>
        <v>844831.49000000022</v>
      </c>
      <c r="P37" s="27">
        <f>SUM(P38:P111)</f>
        <v>0</v>
      </c>
      <c r="R37" s="27">
        <f>SUM(R38:R111)</f>
        <v>844831.49000000022</v>
      </c>
      <c r="U37" s="27">
        <f>SUM(U38:U111)</f>
        <v>136540.50999999998</v>
      </c>
    </row>
    <row r="38" spans="2:22" s="5" customFormat="1" ht="16.5" customHeight="1" x14ac:dyDescent="0.35">
      <c r="B38" s="4"/>
      <c r="C38" s="28" t="s">
        <v>143</v>
      </c>
      <c r="D38" s="28" t="s">
        <v>32</v>
      </c>
      <c r="E38" s="29" t="s">
        <v>583</v>
      </c>
      <c r="F38" s="30" t="s">
        <v>584</v>
      </c>
      <c r="G38" s="31" t="s">
        <v>565</v>
      </c>
      <c r="H38" s="32">
        <v>1</v>
      </c>
      <c r="I38" s="32">
        <v>1</v>
      </c>
      <c r="J38" s="33">
        <v>2674.12</v>
      </c>
      <c r="K38" s="34">
        <f t="shared" ref="K38:K101" si="10">ROUND(J38*H38,2)</f>
        <v>2674.12</v>
      </c>
      <c r="L38" s="90">
        <f t="shared" si="2"/>
        <v>2674.12</v>
      </c>
      <c r="M38" s="70">
        <v>0</v>
      </c>
      <c r="N38" s="71">
        <f t="shared" si="3"/>
        <v>0</v>
      </c>
      <c r="O38" s="72"/>
      <c r="P38" s="73">
        <f t="shared" ref="P38:P61" si="11">O38*J38</f>
        <v>0</v>
      </c>
      <c r="Q38" s="70">
        <f t="shared" ref="Q38:Q101" si="12">O38+M38</f>
        <v>0</v>
      </c>
      <c r="R38" s="74">
        <f t="shared" ref="R38:R101" si="13">Q38*J38</f>
        <v>0</v>
      </c>
      <c r="S38" s="75">
        <f t="shared" ref="S38:S101" si="14">R38/K38</f>
        <v>0</v>
      </c>
      <c r="T38" s="76">
        <f t="shared" ref="T38:T101" si="15">H38-Q38</f>
        <v>1</v>
      </c>
      <c r="U38" s="77">
        <f t="shared" ref="U38:U101" si="16">T38*J38</f>
        <v>2674.12</v>
      </c>
      <c r="V38" s="78">
        <f t="shared" ref="V38:V101" si="17">T38/H38</f>
        <v>1</v>
      </c>
    </row>
    <row r="39" spans="2:22" s="5" customFormat="1" ht="16.5" customHeight="1" x14ac:dyDescent="0.35">
      <c r="B39" s="4"/>
      <c r="C39" s="28" t="s">
        <v>147</v>
      </c>
      <c r="D39" s="28" t="s">
        <v>32</v>
      </c>
      <c r="E39" s="29" t="s">
        <v>182</v>
      </c>
      <c r="F39" s="30" t="s">
        <v>585</v>
      </c>
      <c r="G39" s="31" t="s">
        <v>565</v>
      </c>
      <c r="H39" s="32">
        <v>1</v>
      </c>
      <c r="I39" s="32">
        <v>1</v>
      </c>
      <c r="J39" s="33">
        <v>1337.06</v>
      </c>
      <c r="K39" s="34">
        <f t="shared" si="10"/>
        <v>1337.06</v>
      </c>
      <c r="L39" s="90">
        <f t="shared" si="2"/>
        <v>1337.06</v>
      </c>
      <c r="M39" s="70">
        <v>0</v>
      </c>
      <c r="N39" s="71">
        <f t="shared" si="3"/>
        <v>0</v>
      </c>
      <c r="O39" s="72"/>
      <c r="P39" s="73">
        <f t="shared" si="11"/>
        <v>0</v>
      </c>
      <c r="Q39" s="70">
        <f t="shared" si="12"/>
        <v>0</v>
      </c>
      <c r="R39" s="74">
        <f t="shared" si="13"/>
        <v>0</v>
      </c>
      <c r="S39" s="75">
        <f t="shared" si="14"/>
        <v>0</v>
      </c>
      <c r="T39" s="76">
        <f t="shared" si="15"/>
        <v>1</v>
      </c>
      <c r="U39" s="77">
        <f t="shared" si="16"/>
        <v>1337.06</v>
      </c>
      <c r="V39" s="78">
        <f t="shared" si="17"/>
        <v>1</v>
      </c>
    </row>
    <row r="40" spans="2:22" s="5" customFormat="1" ht="16.5" customHeight="1" x14ac:dyDescent="0.35">
      <c r="B40" s="4"/>
      <c r="C40" s="28" t="s">
        <v>149</v>
      </c>
      <c r="D40" s="28" t="s">
        <v>32</v>
      </c>
      <c r="E40" s="29" t="s">
        <v>185</v>
      </c>
      <c r="F40" s="30" t="s">
        <v>586</v>
      </c>
      <c r="G40" s="31" t="s">
        <v>565</v>
      </c>
      <c r="H40" s="32">
        <v>1</v>
      </c>
      <c r="I40" s="32">
        <v>1</v>
      </c>
      <c r="J40" s="33">
        <v>10696.47</v>
      </c>
      <c r="K40" s="34">
        <f t="shared" si="10"/>
        <v>10696.47</v>
      </c>
      <c r="L40" s="90">
        <f t="shared" si="2"/>
        <v>10696.47</v>
      </c>
      <c r="M40" s="70">
        <v>1</v>
      </c>
      <c r="N40" s="71">
        <f t="shared" si="3"/>
        <v>10696.47</v>
      </c>
      <c r="O40" s="72"/>
      <c r="P40" s="73">
        <f t="shared" si="11"/>
        <v>0</v>
      </c>
      <c r="Q40" s="70">
        <f t="shared" si="12"/>
        <v>1</v>
      </c>
      <c r="R40" s="74">
        <f t="shared" si="13"/>
        <v>10696.47</v>
      </c>
      <c r="S40" s="75">
        <f t="shared" si="14"/>
        <v>1</v>
      </c>
      <c r="T40" s="76">
        <f t="shared" si="15"/>
        <v>0</v>
      </c>
      <c r="U40" s="77">
        <f t="shared" si="16"/>
        <v>0</v>
      </c>
      <c r="V40" s="78">
        <f t="shared" si="17"/>
        <v>0</v>
      </c>
    </row>
    <row r="41" spans="2:22" s="5" customFormat="1" ht="16.5" customHeight="1" x14ac:dyDescent="0.35">
      <c r="B41" s="4"/>
      <c r="C41" s="28" t="s">
        <v>151</v>
      </c>
      <c r="D41" s="28" t="s">
        <v>32</v>
      </c>
      <c r="E41" s="29" t="s">
        <v>188</v>
      </c>
      <c r="F41" s="30" t="s">
        <v>587</v>
      </c>
      <c r="G41" s="31" t="s">
        <v>565</v>
      </c>
      <c r="H41" s="32">
        <v>1</v>
      </c>
      <c r="I41" s="32">
        <v>1</v>
      </c>
      <c r="J41" s="33">
        <v>6685.3</v>
      </c>
      <c r="K41" s="34">
        <f t="shared" si="10"/>
        <v>6685.3</v>
      </c>
      <c r="L41" s="90">
        <f t="shared" si="2"/>
        <v>6685.3</v>
      </c>
      <c r="M41" s="70">
        <v>0</v>
      </c>
      <c r="N41" s="71">
        <f t="shared" si="3"/>
        <v>0</v>
      </c>
      <c r="O41" s="72"/>
      <c r="P41" s="73">
        <f t="shared" si="11"/>
        <v>0</v>
      </c>
      <c r="Q41" s="70">
        <f t="shared" si="12"/>
        <v>0</v>
      </c>
      <c r="R41" s="74">
        <f t="shared" si="13"/>
        <v>0</v>
      </c>
      <c r="S41" s="75">
        <f t="shared" si="14"/>
        <v>0</v>
      </c>
      <c r="T41" s="76">
        <f t="shared" si="15"/>
        <v>1</v>
      </c>
      <c r="U41" s="77">
        <f t="shared" si="16"/>
        <v>6685.3</v>
      </c>
      <c r="V41" s="78">
        <f t="shared" si="17"/>
        <v>1</v>
      </c>
    </row>
    <row r="42" spans="2:22" s="5" customFormat="1" ht="16.5" customHeight="1" x14ac:dyDescent="0.35">
      <c r="B42" s="4"/>
      <c r="C42" s="28" t="s">
        <v>155</v>
      </c>
      <c r="D42" s="28" t="s">
        <v>32</v>
      </c>
      <c r="E42" s="29" t="s">
        <v>191</v>
      </c>
      <c r="F42" s="30" t="s">
        <v>588</v>
      </c>
      <c r="G42" s="31" t="s">
        <v>565</v>
      </c>
      <c r="H42" s="32">
        <v>1</v>
      </c>
      <c r="I42" s="32">
        <v>1</v>
      </c>
      <c r="J42" s="33">
        <v>18718.830000000002</v>
      </c>
      <c r="K42" s="34">
        <f t="shared" si="10"/>
        <v>18718.830000000002</v>
      </c>
      <c r="L42" s="90">
        <f t="shared" si="2"/>
        <v>18718.830000000002</v>
      </c>
      <c r="M42" s="70">
        <v>1</v>
      </c>
      <c r="N42" s="71">
        <f t="shared" si="3"/>
        <v>18718.830000000002</v>
      </c>
      <c r="O42" s="72"/>
      <c r="P42" s="73">
        <f t="shared" si="11"/>
        <v>0</v>
      </c>
      <c r="Q42" s="70">
        <f t="shared" si="12"/>
        <v>1</v>
      </c>
      <c r="R42" s="74">
        <f t="shared" si="13"/>
        <v>18718.830000000002</v>
      </c>
      <c r="S42" s="75">
        <f t="shared" si="14"/>
        <v>1</v>
      </c>
      <c r="T42" s="76">
        <f t="shared" si="15"/>
        <v>0</v>
      </c>
      <c r="U42" s="77">
        <f t="shared" si="16"/>
        <v>0</v>
      </c>
      <c r="V42" s="78">
        <f t="shared" si="17"/>
        <v>0</v>
      </c>
    </row>
    <row r="43" spans="2:22" s="5" customFormat="1" ht="24.15" customHeight="1" x14ac:dyDescent="0.35">
      <c r="B43" s="4"/>
      <c r="C43" s="38" t="s">
        <v>157</v>
      </c>
      <c r="D43" s="38" t="s">
        <v>193</v>
      </c>
      <c r="E43" s="39" t="s">
        <v>174</v>
      </c>
      <c r="F43" s="40" t="s">
        <v>589</v>
      </c>
      <c r="G43" s="41" t="s">
        <v>272</v>
      </c>
      <c r="H43" s="42">
        <v>2</v>
      </c>
      <c r="I43" s="42">
        <v>2</v>
      </c>
      <c r="J43" s="43">
        <v>12341.06</v>
      </c>
      <c r="K43" s="44">
        <f t="shared" si="10"/>
        <v>24682.12</v>
      </c>
      <c r="L43" s="90">
        <f t="shared" si="2"/>
        <v>24682.12</v>
      </c>
      <c r="M43" s="70">
        <v>2</v>
      </c>
      <c r="N43" s="71">
        <f t="shared" si="3"/>
        <v>24682.12</v>
      </c>
      <c r="O43" s="72"/>
      <c r="P43" s="73">
        <f t="shared" si="11"/>
        <v>0</v>
      </c>
      <c r="Q43" s="70">
        <f t="shared" si="12"/>
        <v>2</v>
      </c>
      <c r="R43" s="74">
        <f t="shared" si="13"/>
        <v>24682.12</v>
      </c>
      <c r="S43" s="75">
        <f t="shared" si="14"/>
        <v>1</v>
      </c>
      <c r="T43" s="76">
        <f t="shared" si="15"/>
        <v>0</v>
      </c>
      <c r="U43" s="77">
        <f t="shared" si="16"/>
        <v>0</v>
      </c>
      <c r="V43" s="78">
        <f t="shared" si="17"/>
        <v>0</v>
      </c>
    </row>
    <row r="44" spans="2:22" s="5" customFormat="1" ht="24.15" customHeight="1" x14ac:dyDescent="0.35">
      <c r="B44" s="4"/>
      <c r="C44" s="38" t="s">
        <v>159</v>
      </c>
      <c r="D44" s="38" t="s">
        <v>193</v>
      </c>
      <c r="E44" s="39" t="s">
        <v>104</v>
      </c>
      <c r="F44" s="40" t="s">
        <v>590</v>
      </c>
      <c r="G44" s="41" t="s">
        <v>272</v>
      </c>
      <c r="H44" s="42">
        <v>1</v>
      </c>
      <c r="I44" s="42">
        <v>1</v>
      </c>
      <c r="J44" s="43">
        <v>3275.8</v>
      </c>
      <c r="K44" s="44">
        <f t="shared" si="10"/>
        <v>3275.8</v>
      </c>
      <c r="L44" s="90">
        <f t="shared" si="2"/>
        <v>3275.8</v>
      </c>
      <c r="M44" s="70">
        <v>1</v>
      </c>
      <c r="N44" s="71">
        <f t="shared" si="3"/>
        <v>3275.8</v>
      </c>
      <c r="O44" s="72"/>
      <c r="P44" s="73">
        <f t="shared" si="11"/>
        <v>0</v>
      </c>
      <c r="Q44" s="70">
        <f t="shared" si="12"/>
        <v>1</v>
      </c>
      <c r="R44" s="74">
        <f t="shared" si="13"/>
        <v>3275.8</v>
      </c>
      <c r="S44" s="75">
        <f t="shared" si="14"/>
        <v>1</v>
      </c>
      <c r="T44" s="76">
        <f t="shared" si="15"/>
        <v>0</v>
      </c>
      <c r="U44" s="77">
        <f t="shared" si="16"/>
        <v>0</v>
      </c>
      <c r="V44" s="78">
        <f t="shared" si="17"/>
        <v>0</v>
      </c>
    </row>
    <row r="45" spans="2:22" s="5" customFormat="1" ht="62.75" customHeight="1" x14ac:dyDescent="0.35">
      <c r="B45" s="4"/>
      <c r="C45" s="38" t="s">
        <v>161</v>
      </c>
      <c r="D45" s="38" t="s">
        <v>193</v>
      </c>
      <c r="E45" s="39" t="s">
        <v>106</v>
      </c>
      <c r="F45" s="40" t="s">
        <v>591</v>
      </c>
      <c r="G45" s="41" t="s">
        <v>272</v>
      </c>
      <c r="H45" s="42">
        <v>1</v>
      </c>
      <c r="I45" s="42">
        <v>1</v>
      </c>
      <c r="J45" s="43">
        <v>104959.16</v>
      </c>
      <c r="K45" s="44">
        <f t="shared" si="10"/>
        <v>104959.16</v>
      </c>
      <c r="L45" s="90">
        <f t="shared" si="2"/>
        <v>104959.16</v>
      </c>
      <c r="M45" s="70">
        <v>1</v>
      </c>
      <c r="N45" s="71">
        <f t="shared" si="3"/>
        <v>104959.16</v>
      </c>
      <c r="O45" s="72"/>
      <c r="P45" s="73">
        <f t="shared" si="11"/>
        <v>0</v>
      </c>
      <c r="Q45" s="70">
        <f t="shared" si="12"/>
        <v>1</v>
      </c>
      <c r="R45" s="74">
        <f t="shared" si="13"/>
        <v>104959.16</v>
      </c>
      <c r="S45" s="75">
        <f t="shared" si="14"/>
        <v>1</v>
      </c>
      <c r="T45" s="76">
        <f t="shared" si="15"/>
        <v>0</v>
      </c>
      <c r="U45" s="77">
        <f t="shared" si="16"/>
        <v>0</v>
      </c>
      <c r="V45" s="78">
        <f t="shared" si="17"/>
        <v>0</v>
      </c>
    </row>
    <row r="46" spans="2:22" s="5" customFormat="1" ht="16.5" customHeight="1" x14ac:dyDescent="0.35">
      <c r="B46" s="4"/>
      <c r="C46" s="38" t="s">
        <v>163</v>
      </c>
      <c r="D46" s="38" t="s">
        <v>193</v>
      </c>
      <c r="E46" s="39" t="s">
        <v>108</v>
      </c>
      <c r="F46" s="40" t="s">
        <v>592</v>
      </c>
      <c r="G46" s="41" t="s">
        <v>272</v>
      </c>
      <c r="H46" s="42">
        <v>1</v>
      </c>
      <c r="I46" s="42">
        <v>1</v>
      </c>
      <c r="J46" s="43">
        <v>4880.2700000000004</v>
      </c>
      <c r="K46" s="44">
        <f t="shared" si="10"/>
        <v>4880.2700000000004</v>
      </c>
      <c r="L46" s="90">
        <f t="shared" si="2"/>
        <v>4880.2700000000004</v>
      </c>
      <c r="M46" s="70">
        <v>1</v>
      </c>
      <c r="N46" s="71">
        <f t="shared" si="3"/>
        <v>4880.2700000000004</v>
      </c>
      <c r="O46" s="72"/>
      <c r="P46" s="73">
        <f t="shared" si="11"/>
        <v>0</v>
      </c>
      <c r="Q46" s="70">
        <f t="shared" si="12"/>
        <v>1</v>
      </c>
      <c r="R46" s="74">
        <f t="shared" si="13"/>
        <v>4880.2700000000004</v>
      </c>
      <c r="S46" s="75">
        <f t="shared" si="14"/>
        <v>1</v>
      </c>
      <c r="T46" s="76">
        <f t="shared" si="15"/>
        <v>0</v>
      </c>
      <c r="U46" s="77">
        <f t="shared" si="16"/>
        <v>0</v>
      </c>
      <c r="V46" s="78">
        <f t="shared" si="17"/>
        <v>0</v>
      </c>
    </row>
    <row r="47" spans="2:22" s="5" customFormat="1" ht="16.5" customHeight="1" x14ac:dyDescent="0.35">
      <c r="B47" s="4"/>
      <c r="C47" s="38" t="s">
        <v>166</v>
      </c>
      <c r="D47" s="38" t="s">
        <v>193</v>
      </c>
      <c r="E47" s="39" t="s">
        <v>110</v>
      </c>
      <c r="F47" s="40" t="s">
        <v>593</v>
      </c>
      <c r="G47" s="41" t="s">
        <v>272</v>
      </c>
      <c r="H47" s="42">
        <v>2</v>
      </c>
      <c r="I47" s="42">
        <v>2</v>
      </c>
      <c r="J47" s="43">
        <v>735.38</v>
      </c>
      <c r="K47" s="44">
        <f t="shared" si="10"/>
        <v>1470.76</v>
      </c>
      <c r="L47" s="90">
        <f t="shared" si="2"/>
        <v>1470.76</v>
      </c>
      <c r="M47" s="70">
        <v>2</v>
      </c>
      <c r="N47" s="71">
        <f t="shared" si="3"/>
        <v>1470.76</v>
      </c>
      <c r="O47" s="72"/>
      <c r="P47" s="73">
        <f t="shared" si="11"/>
        <v>0</v>
      </c>
      <c r="Q47" s="70">
        <f t="shared" si="12"/>
        <v>2</v>
      </c>
      <c r="R47" s="74">
        <f t="shared" si="13"/>
        <v>1470.76</v>
      </c>
      <c r="S47" s="75">
        <f t="shared" si="14"/>
        <v>1</v>
      </c>
      <c r="T47" s="76">
        <f t="shared" si="15"/>
        <v>0</v>
      </c>
      <c r="U47" s="77">
        <f t="shared" si="16"/>
        <v>0</v>
      </c>
      <c r="V47" s="78">
        <f t="shared" si="17"/>
        <v>0</v>
      </c>
    </row>
    <row r="48" spans="2:22" s="5" customFormat="1" ht="21.75" customHeight="1" x14ac:dyDescent="0.35">
      <c r="B48" s="4"/>
      <c r="C48" s="38" t="s">
        <v>169</v>
      </c>
      <c r="D48" s="38" t="s">
        <v>193</v>
      </c>
      <c r="E48" s="39" t="s">
        <v>112</v>
      </c>
      <c r="F48" s="40" t="s">
        <v>594</v>
      </c>
      <c r="G48" s="41" t="s">
        <v>272</v>
      </c>
      <c r="H48" s="42">
        <v>1</v>
      </c>
      <c r="I48" s="42">
        <v>1</v>
      </c>
      <c r="J48" s="43">
        <v>3543.21</v>
      </c>
      <c r="K48" s="44">
        <f t="shared" si="10"/>
        <v>3543.21</v>
      </c>
      <c r="L48" s="90">
        <f t="shared" si="2"/>
        <v>3543.21</v>
      </c>
      <c r="M48" s="70">
        <v>1</v>
      </c>
      <c r="N48" s="71">
        <f t="shared" si="3"/>
        <v>3543.21</v>
      </c>
      <c r="O48" s="72"/>
      <c r="P48" s="73">
        <f t="shared" si="11"/>
        <v>0</v>
      </c>
      <c r="Q48" s="70">
        <f t="shared" si="12"/>
        <v>1</v>
      </c>
      <c r="R48" s="74">
        <f t="shared" si="13"/>
        <v>3543.21</v>
      </c>
      <c r="S48" s="75">
        <f t="shared" si="14"/>
        <v>1</v>
      </c>
      <c r="T48" s="76">
        <f t="shared" si="15"/>
        <v>0</v>
      </c>
      <c r="U48" s="77">
        <f t="shared" si="16"/>
        <v>0</v>
      </c>
      <c r="V48" s="78">
        <f t="shared" si="17"/>
        <v>0</v>
      </c>
    </row>
    <row r="49" spans="2:22" s="5" customFormat="1" ht="78" customHeight="1" x14ac:dyDescent="0.35">
      <c r="B49" s="4"/>
      <c r="C49" s="38" t="s">
        <v>170</v>
      </c>
      <c r="D49" s="38" t="s">
        <v>193</v>
      </c>
      <c r="E49" s="39" t="s">
        <v>114</v>
      </c>
      <c r="F49" s="40" t="s">
        <v>595</v>
      </c>
      <c r="G49" s="41" t="s">
        <v>272</v>
      </c>
      <c r="H49" s="42">
        <v>1</v>
      </c>
      <c r="I49" s="42">
        <v>1</v>
      </c>
      <c r="J49" s="43">
        <v>559559.76</v>
      </c>
      <c r="K49" s="44">
        <f t="shared" si="10"/>
        <v>559559.76</v>
      </c>
      <c r="L49" s="90">
        <f t="shared" si="2"/>
        <v>559559.76</v>
      </c>
      <c r="M49" s="70">
        <v>1</v>
      </c>
      <c r="N49" s="71">
        <f t="shared" si="3"/>
        <v>559559.76</v>
      </c>
      <c r="O49" s="72"/>
      <c r="P49" s="73">
        <f t="shared" si="11"/>
        <v>0</v>
      </c>
      <c r="Q49" s="70">
        <f t="shared" si="12"/>
        <v>1</v>
      </c>
      <c r="R49" s="74">
        <f t="shared" si="13"/>
        <v>559559.76</v>
      </c>
      <c r="S49" s="75">
        <f t="shared" si="14"/>
        <v>1</v>
      </c>
      <c r="T49" s="76">
        <f t="shared" si="15"/>
        <v>0</v>
      </c>
      <c r="U49" s="77">
        <f t="shared" si="16"/>
        <v>0</v>
      </c>
      <c r="V49" s="78">
        <f t="shared" si="17"/>
        <v>0</v>
      </c>
    </row>
    <row r="50" spans="2:22" s="5" customFormat="1" ht="44.25" customHeight="1" x14ac:dyDescent="0.35">
      <c r="B50" s="4"/>
      <c r="C50" s="38" t="s">
        <v>171</v>
      </c>
      <c r="D50" s="38" t="s">
        <v>193</v>
      </c>
      <c r="E50" s="39" t="s">
        <v>116</v>
      </c>
      <c r="F50" s="40" t="s">
        <v>596</v>
      </c>
      <c r="G50" s="41" t="s">
        <v>272</v>
      </c>
      <c r="H50" s="42">
        <v>1</v>
      </c>
      <c r="I50" s="42">
        <v>1</v>
      </c>
      <c r="J50" s="43">
        <v>32049.31</v>
      </c>
      <c r="K50" s="44">
        <f t="shared" si="10"/>
        <v>32049.31</v>
      </c>
      <c r="L50" s="90">
        <f t="shared" si="2"/>
        <v>32049.31</v>
      </c>
      <c r="M50" s="70">
        <v>1</v>
      </c>
      <c r="N50" s="71">
        <f t="shared" si="3"/>
        <v>32049.31</v>
      </c>
      <c r="O50" s="72"/>
      <c r="P50" s="73">
        <f t="shared" si="11"/>
        <v>0</v>
      </c>
      <c r="Q50" s="70">
        <f t="shared" si="12"/>
        <v>1</v>
      </c>
      <c r="R50" s="74">
        <f t="shared" si="13"/>
        <v>32049.31</v>
      </c>
      <c r="S50" s="75">
        <f t="shared" si="14"/>
        <v>1</v>
      </c>
      <c r="T50" s="76">
        <f t="shared" si="15"/>
        <v>0</v>
      </c>
      <c r="U50" s="77">
        <f t="shared" si="16"/>
        <v>0</v>
      </c>
      <c r="V50" s="78">
        <f t="shared" si="17"/>
        <v>0</v>
      </c>
    </row>
    <row r="51" spans="2:22" s="5" customFormat="1" ht="38" customHeight="1" x14ac:dyDescent="0.35">
      <c r="B51" s="4"/>
      <c r="C51" s="38" t="s">
        <v>172</v>
      </c>
      <c r="D51" s="38" t="s">
        <v>193</v>
      </c>
      <c r="E51" s="39" t="s">
        <v>118</v>
      </c>
      <c r="F51" s="40" t="s">
        <v>597</v>
      </c>
      <c r="G51" s="41" t="s">
        <v>272</v>
      </c>
      <c r="H51" s="42">
        <v>1</v>
      </c>
      <c r="I51" s="42">
        <v>1</v>
      </c>
      <c r="J51" s="43">
        <v>30618.66</v>
      </c>
      <c r="K51" s="44">
        <f t="shared" si="10"/>
        <v>30618.66</v>
      </c>
      <c r="L51" s="90">
        <f t="shared" si="2"/>
        <v>30618.66</v>
      </c>
      <c r="M51" s="70">
        <v>0</v>
      </c>
      <c r="N51" s="71">
        <f t="shared" si="3"/>
        <v>0</v>
      </c>
      <c r="O51" s="72"/>
      <c r="P51" s="73">
        <f t="shared" si="11"/>
        <v>0</v>
      </c>
      <c r="Q51" s="70">
        <f t="shared" si="12"/>
        <v>0</v>
      </c>
      <c r="R51" s="74">
        <f t="shared" si="13"/>
        <v>0</v>
      </c>
      <c r="S51" s="75">
        <f t="shared" si="14"/>
        <v>0</v>
      </c>
      <c r="T51" s="76">
        <f t="shared" si="15"/>
        <v>1</v>
      </c>
      <c r="U51" s="77">
        <f t="shared" si="16"/>
        <v>30618.66</v>
      </c>
      <c r="V51" s="78">
        <f t="shared" si="17"/>
        <v>1</v>
      </c>
    </row>
    <row r="52" spans="2:22" s="5" customFormat="1" ht="44.25" customHeight="1" x14ac:dyDescent="0.35">
      <c r="B52" s="4"/>
      <c r="C52" s="38" t="s">
        <v>173</v>
      </c>
      <c r="D52" s="38" t="s">
        <v>193</v>
      </c>
      <c r="E52" s="39" t="s">
        <v>121</v>
      </c>
      <c r="F52" s="40" t="s">
        <v>598</v>
      </c>
      <c r="G52" s="41" t="s">
        <v>272</v>
      </c>
      <c r="H52" s="42">
        <v>1</v>
      </c>
      <c r="I52" s="42">
        <v>1</v>
      </c>
      <c r="J52" s="43">
        <v>17582.330000000002</v>
      </c>
      <c r="K52" s="44">
        <f t="shared" si="10"/>
        <v>17582.330000000002</v>
      </c>
      <c r="L52" s="90">
        <f t="shared" si="2"/>
        <v>17582.330000000002</v>
      </c>
      <c r="M52" s="70">
        <v>0</v>
      </c>
      <c r="N52" s="71">
        <f t="shared" si="3"/>
        <v>0</v>
      </c>
      <c r="O52" s="72"/>
      <c r="P52" s="73">
        <f t="shared" si="11"/>
        <v>0</v>
      </c>
      <c r="Q52" s="70">
        <f t="shared" si="12"/>
        <v>0</v>
      </c>
      <c r="R52" s="74">
        <f t="shared" si="13"/>
        <v>0</v>
      </c>
      <c r="S52" s="75">
        <f t="shared" si="14"/>
        <v>0</v>
      </c>
      <c r="T52" s="76">
        <f t="shared" si="15"/>
        <v>1</v>
      </c>
      <c r="U52" s="77">
        <f t="shared" si="16"/>
        <v>17582.330000000002</v>
      </c>
      <c r="V52" s="78">
        <f t="shared" si="17"/>
        <v>1</v>
      </c>
    </row>
    <row r="53" spans="2:22" s="5" customFormat="1" ht="24.15" customHeight="1" x14ac:dyDescent="0.35">
      <c r="B53" s="4"/>
      <c r="C53" s="38" t="s">
        <v>178</v>
      </c>
      <c r="D53" s="38" t="s">
        <v>193</v>
      </c>
      <c r="E53" s="39" t="s">
        <v>123</v>
      </c>
      <c r="F53" s="40" t="s">
        <v>599</v>
      </c>
      <c r="G53" s="41" t="s">
        <v>272</v>
      </c>
      <c r="H53" s="42">
        <v>1</v>
      </c>
      <c r="I53" s="42">
        <v>1</v>
      </c>
      <c r="J53" s="43">
        <v>17328.29</v>
      </c>
      <c r="K53" s="44">
        <f t="shared" si="10"/>
        <v>17328.29</v>
      </c>
      <c r="L53" s="90">
        <f t="shared" si="2"/>
        <v>17328.29</v>
      </c>
      <c r="M53" s="70">
        <v>1</v>
      </c>
      <c r="N53" s="71">
        <f t="shared" si="3"/>
        <v>17328.29</v>
      </c>
      <c r="O53" s="72"/>
      <c r="P53" s="73">
        <f t="shared" si="11"/>
        <v>0</v>
      </c>
      <c r="Q53" s="70">
        <f t="shared" si="12"/>
        <v>1</v>
      </c>
      <c r="R53" s="74">
        <f t="shared" si="13"/>
        <v>17328.29</v>
      </c>
      <c r="S53" s="75">
        <f t="shared" si="14"/>
        <v>1</v>
      </c>
      <c r="T53" s="76">
        <f t="shared" si="15"/>
        <v>0</v>
      </c>
      <c r="U53" s="77">
        <f t="shared" si="16"/>
        <v>0</v>
      </c>
      <c r="V53" s="78">
        <f t="shared" si="17"/>
        <v>0</v>
      </c>
    </row>
    <row r="54" spans="2:22" s="5" customFormat="1" ht="16.5" customHeight="1" x14ac:dyDescent="0.35">
      <c r="B54" s="4"/>
      <c r="C54" s="38" t="s">
        <v>181</v>
      </c>
      <c r="D54" s="38" t="s">
        <v>193</v>
      </c>
      <c r="E54" s="39" t="s">
        <v>125</v>
      </c>
      <c r="F54" s="40" t="s">
        <v>600</v>
      </c>
      <c r="G54" s="41" t="s">
        <v>323</v>
      </c>
      <c r="H54" s="42">
        <v>100</v>
      </c>
      <c r="I54" s="42">
        <v>100</v>
      </c>
      <c r="J54" s="43">
        <v>12.03</v>
      </c>
      <c r="K54" s="44">
        <f t="shared" si="10"/>
        <v>1203</v>
      </c>
      <c r="L54" s="90">
        <f t="shared" si="2"/>
        <v>1203</v>
      </c>
      <c r="M54" s="70">
        <v>100</v>
      </c>
      <c r="N54" s="71">
        <f t="shared" si="3"/>
        <v>1203</v>
      </c>
      <c r="O54" s="72"/>
      <c r="P54" s="73">
        <f t="shared" si="11"/>
        <v>0</v>
      </c>
      <c r="Q54" s="70">
        <f t="shared" si="12"/>
        <v>100</v>
      </c>
      <c r="R54" s="74">
        <f t="shared" si="13"/>
        <v>1203</v>
      </c>
      <c r="S54" s="75">
        <f t="shared" si="14"/>
        <v>1</v>
      </c>
      <c r="T54" s="76">
        <f t="shared" si="15"/>
        <v>0</v>
      </c>
      <c r="U54" s="77">
        <f t="shared" si="16"/>
        <v>0</v>
      </c>
      <c r="V54" s="78">
        <f t="shared" si="17"/>
        <v>0</v>
      </c>
    </row>
    <row r="55" spans="2:22" s="5" customFormat="1" ht="24.15" customHeight="1" x14ac:dyDescent="0.35">
      <c r="B55" s="4"/>
      <c r="C55" s="38" t="s">
        <v>184</v>
      </c>
      <c r="D55" s="38" t="s">
        <v>193</v>
      </c>
      <c r="E55" s="39" t="s">
        <v>601</v>
      </c>
      <c r="F55" s="40" t="s">
        <v>602</v>
      </c>
      <c r="G55" s="41" t="s">
        <v>272</v>
      </c>
      <c r="H55" s="42">
        <v>1</v>
      </c>
      <c r="I55" s="42">
        <v>1</v>
      </c>
      <c r="J55" s="43">
        <v>29615.87</v>
      </c>
      <c r="K55" s="44">
        <f t="shared" si="10"/>
        <v>29615.87</v>
      </c>
      <c r="L55" s="90">
        <f t="shared" si="2"/>
        <v>29615.87</v>
      </c>
      <c r="M55" s="70">
        <v>0</v>
      </c>
      <c r="N55" s="71">
        <f t="shared" si="3"/>
        <v>0</v>
      </c>
      <c r="O55" s="72"/>
      <c r="P55" s="73">
        <f t="shared" si="11"/>
        <v>0</v>
      </c>
      <c r="Q55" s="70">
        <f t="shared" si="12"/>
        <v>0</v>
      </c>
      <c r="R55" s="74">
        <f t="shared" si="13"/>
        <v>0</v>
      </c>
      <c r="S55" s="75">
        <f t="shared" si="14"/>
        <v>0</v>
      </c>
      <c r="T55" s="76">
        <f t="shared" si="15"/>
        <v>1</v>
      </c>
      <c r="U55" s="77">
        <f t="shared" si="16"/>
        <v>29615.87</v>
      </c>
      <c r="V55" s="78">
        <f t="shared" si="17"/>
        <v>1</v>
      </c>
    </row>
    <row r="56" spans="2:22" s="5" customFormat="1" ht="24.15" customHeight="1" x14ac:dyDescent="0.35">
      <c r="B56" s="4"/>
      <c r="C56" s="38" t="s">
        <v>187</v>
      </c>
      <c r="D56" s="38" t="s">
        <v>193</v>
      </c>
      <c r="E56" s="39" t="s">
        <v>603</v>
      </c>
      <c r="F56" s="40" t="s">
        <v>604</v>
      </c>
      <c r="G56" s="41" t="s">
        <v>272</v>
      </c>
      <c r="H56" s="42">
        <v>1</v>
      </c>
      <c r="I56" s="42">
        <v>1</v>
      </c>
      <c r="J56" s="43">
        <v>4291.96</v>
      </c>
      <c r="K56" s="44">
        <f t="shared" si="10"/>
        <v>4291.96</v>
      </c>
      <c r="L56" s="90">
        <f t="shared" si="2"/>
        <v>4291.96</v>
      </c>
      <c r="M56" s="70">
        <v>0</v>
      </c>
      <c r="N56" s="71">
        <f t="shared" si="3"/>
        <v>0</v>
      </c>
      <c r="O56" s="72"/>
      <c r="P56" s="73">
        <f t="shared" si="11"/>
        <v>0</v>
      </c>
      <c r="Q56" s="70">
        <f t="shared" si="12"/>
        <v>0</v>
      </c>
      <c r="R56" s="74">
        <f t="shared" si="13"/>
        <v>0</v>
      </c>
      <c r="S56" s="75">
        <f t="shared" si="14"/>
        <v>0</v>
      </c>
      <c r="T56" s="76">
        <f t="shared" si="15"/>
        <v>1</v>
      </c>
      <c r="U56" s="77">
        <f t="shared" si="16"/>
        <v>4291.96</v>
      </c>
      <c r="V56" s="78">
        <f t="shared" si="17"/>
        <v>1</v>
      </c>
    </row>
    <row r="57" spans="2:22" s="5" customFormat="1" ht="24.15" customHeight="1" x14ac:dyDescent="0.35">
      <c r="B57" s="4"/>
      <c r="C57" s="38" t="s">
        <v>190</v>
      </c>
      <c r="D57" s="38" t="s">
        <v>193</v>
      </c>
      <c r="E57" s="39" t="s">
        <v>605</v>
      </c>
      <c r="F57" s="40" t="s">
        <v>606</v>
      </c>
      <c r="G57" s="41" t="s">
        <v>272</v>
      </c>
      <c r="H57" s="42">
        <v>1</v>
      </c>
      <c r="I57" s="42">
        <v>1</v>
      </c>
      <c r="J57" s="43">
        <v>6351.03</v>
      </c>
      <c r="K57" s="44">
        <f t="shared" si="10"/>
        <v>6351.03</v>
      </c>
      <c r="L57" s="90">
        <f t="shared" si="2"/>
        <v>6351.03</v>
      </c>
      <c r="M57" s="70">
        <v>0</v>
      </c>
      <c r="N57" s="71">
        <f t="shared" si="3"/>
        <v>0</v>
      </c>
      <c r="O57" s="72"/>
      <c r="P57" s="73">
        <f t="shared" si="11"/>
        <v>0</v>
      </c>
      <c r="Q57" s="70">
        <f t="shared" si="12"/>
        <v>0</v>
      </c>
      <c r="R57" s="74">
        <f t="shared" si="13"/>
        <v>0</v>
      </c>
      <c r="S57" s="75">
        <f t="shared" si="14"/>
        <v>0</v>
      </c>
      <c r="T57" s="76">
        <f t="shared" si="15"/>
        <v>1</v>
      </c>
      <c r="U57" s="77">
        <f t="shared" si="16"/>
        <v>6351.03</v>
      </c>
      <c r="V57" s="78">
        <f t="shared" si="17"/>
        <v>1</v>
      </c>
    </row>
    <row r="58" spans="2:22" s="5" customFormat="1" ht="24.15" customHeight="1" x14ac:dyDescent="0.35">
      <c r="B58" s="4"/>
      <c r="C58" s="38" t="s">
        <v>195</v>
      </c>
      <c r="D58" s="38" t="s">
        <v>193</v>
      </c>
      <c r="E58" s="39" t="s">
        <v>607</v>
      </c>
      <c r="F58" s="40" t="s">
        <v>608</v>
      </c>
      <c r="G58" s="41" t="s">
        <v>272</v>
      </c>
      <c r="H58" s="42">
        <v>1</v>
      </c>
      <c r="I58" s="42">
        <v>1</v>
      </c>
      <c r="J58" s="43">
        <v>22195.19</v>
      </c>
      <c r="K58" s="44">
        <f t="shared" si="10"/>
        <v>22195.19</v>
      </c>
      <c r="L58" s="90">
        <f t="shared" si="2"/>
        <v>22195.19</v>
      </c>
      <c r="M58" s="70">
        <v>0</v>
      </c>
      <c r="N58" s="71">
        <f t="shared" si="3"/>
        <v>0</v>
      </c>
      <c r="O58" s="72"/>
      <c r="P58" s="73">
        <f t="shared" si="11"/>
        <v>0</v>
      </c>
      <c r="Q58" s="70">
        <f t="shared" si="12"/>
        <v>0</v>
      </c>
      <c r="R58" s="74">
        <f t="shared" si="13"/>
        <v>0</v>
      </c>
      <c r="S58" s="75">
        <f t="shared" si="14"/>
        <v>0</v>
      </c>
      <c r="T58" s="76">
        <f t="shared" si="15"/>
        <v>1</v>
      </c>
      <c r="U58" s="77">
        <f t="shared" si="16"/>
        <v>22195.19</v>
      </c>
      <c r="V58" s="78">
        <f t="shared" si="17"/>
        <v>1</v>
      </c>
    </row>
    <row r="59" spans="2:22" s="5" customFormat="1" ht="24.15" customHeight="1" x14ac:dyDescent="0.35">
      <c r="B59" s="4"/>
      <c r="C59" s="38" t="s">
        <v>198</v>
      </c>
      <c r="D59" s="38" t="s">
        <v>193</v>
      </c>
      <c r="E59" s="39" t="s">
        <v>609</v>
      </c>
      <c r="F59" s="40" t="s">
        <v>610</v>
      </c>
      <c r="G59" s="41" t="s">
        <v>565</v>
      </c>
      <c r="H59" s="42">
        <v>1</v>
      </c>
      <c r="I59" s="42">
        <v>1</v>
      </c>
      <c r="J59" s="43">
        <v>10108.17</v>
      </c>
      <c r="K59" s="44">
        <f t="shared" si="10"/>
        <v>10108.17</v>
      </c>
      <c r="L59" s="90">
        <f t="shared" si="2"/>
        <v>10108.17</v>
      </c>
      <c r="M59" s="70">
        <v>0</v>
      </c>
      <c r="N59" s="71">
        <f t="shared" si="3"/>
        <v>0</v>
      </c>
      <c r="O59" s="72"/>
      <c r="P59" s="73">
        <f t="shared" si="11"/>
        <v>0</v>
      </c>
      <c r="Q59" s="70">
        <f t="shared" si="12"/>
        <v>0</v>
      </c>
      <c r="R59" s="74">
        <f t="shared" si="13"/>
        <v>0</v>
      </c>
      <c r="S59" s="75">
        <f t="shared" si="14"/>
        <v>0</v>
      </c>
      <c r="T59" s="76">
        <f t="shared" si="15"/>
        <v>1</v>
      </c>
      <c r="U59" s="77">
        <f t="shared" si="16"/>
        <v>10108.17</v>
      </c>
      <c r="V59" s="78">
        <f t="shared" si="17"/>
        <v>1</v>
      </c>
    </row>
    <row r="60" spans="2:22" s="5" customFormat="1" ht="16.5" customHeight="1" x14ac:dyDescent="0.35">
      <c r="B60" s="4"/>
      <c r="C60" s="38" t="s">
        <v>351</v>
      </c>
      <c r="D60" s="38" t="s">
        <v>193</v>
      </c>
      <c r="E60" s="39" t="s">
        <v>611</v>
      </c>
      <c r="F60" s="40" t="s">
        <v>612</v>
      </c>
      <c r="G60" s="41" t="s">
        <v>272</v>
      </c>
      <c r="H60" s="42">
        <v>1</v>
      </c>
      <c r="I60" s="42">
        <v>1</v>
      </c>
      <c r="J60" s="43">
        <v>3249.05</v>
      </c>
      <c r="K60" s="44">
        <f t="shared" si="10"/>
        <v>3249.05</v>
      </c>
      <c r="L60" s="90">
        <f t="shared" si="2"/>
        <v>3249.05</v>
      </c>
      <c r="M60" s="70">
        <v>0</v>
      </c>
      <c r="N60" s="71">
        <f t="shared" si="3"/>
        <v>0</v>
      </c>
      <c r="O60" s="72"/>
      <c r="P60" s="73">
        <f t="shared" si="11"/>
        <v>0</v>
      </c>
      <c r="Q60" s="70">
        <f t="shared" si="12"/>
        <v>0</v>
      </c>
      <c r="R60" s="74">
        <f t="shared" si="13"/>
        <v>0</v>
      </c>
      <c r="S60" s="75">
        <f t="shared" si="14"/>
        <v>0</v>
      </c>
      <c r="T60" s="76">
        <f t="shared" si="15"/>
        <v>1</v>
      </c>
      <c r="U60" s="77">
        <f t="shared" si="16"/>
        <v>3249.05</v>
      </c>
      <c r="V60" s="78">
        <f t="shared" si="17"/>
        <v>1</v>
      </c>
    </row>
    <row r="61" spans="2:22" s="5" customFormat="1" ht="16.5" customHeight="1" x14ac:dyDescent="0.35">
      <c r="B61" s="4"/>
      <c r="C61" s="38" t="s">
        <v>354</v>
      </c>
      <c r="D61" s="38" t="s">
        <v>193</v>
      </c>
      <c r="E61" s="39" t="s">
        <v>613</v>
      </c>
      <c r="F61" s="40" t="s">
        <v>614</v>
      </c>
      <c r="G61" s="41" t="s">
        <v>272</v>
      </c>
      <c r="H61" s="42">
        <v>1</v>
      </c>
      <c r="I61" s="42">
        <v>1</v>
      </c>
      <c r="J61" s="43">
        <v>1831.77</v>
      </c>
      <c r="K61" s="44">
        <f t="shared" si="10"/>
        <v>1831.77</v>
      </c>
      <c r="L61" s="90">
        <f t="shared" si="2"/>
        <v>1831.77</v>
      </c>
      <c r="M61" s="70">
        <v>0</v>
      </c>
      <c r="N61" s="71">
        <f t="shared" si="3"/>
        <v>0</v>
      </c>
      <c r="O61" s="72"/>
      <c r="P61" s="73">
        <f t="shared" si="11"/>
        <v>0</v>
      </c>
      <c r="Q61" s="70">
        <f t="shared" si="12"/>
        <v>0</v>
      </c>
      <c r="R61" s="74">
        <f t="shared" si="13"/>
        <v>0</v>
      </c>
      <c r="S61" s="75">
        <f t="shared" si="14"/>
        <v>0</v>
      </c>
      <c r="T61" s="76">
        <f t="shared" si="15"/>
        <v>1</v>
      </c>
      <c r="U61" s="77">
        <f t="shared" si="16"/>
        <v>1831.77</v>
      </c>
      <c r="V61" s="78">
        <f t="shared" si="17"/>
        <v>1</v>
      </c>
    </row>
    <row r="62" spans="2:22" s="5" customFormat="1" ht="16.5" customHeight="1" x14ac:dyDescent="0.35">
      <c r="B62" s="4"/>
      <c r="C62" s="38" t="s">
        <v>359</v>
      </c>
      <c r="D62" s="38" t="s">
        <v>193</v>
      </c>
      <c r="E62" s="39" t="s">
        <v>615</v>
      </c>
      <c r="F62" s="40" t="s">
        <v>616</v>
      </c>
      <c r="G62" s="41" t="s">
        <v>120</v>
      </c>
      <c r="H62" s="42">
        <v>1</v>
      </c>
      <c r="I62" s="42">
        <v>1</v>
      </c>
      <c r="J62" s="43">
        <v>271.42</v>
      </c>
      <c r="K62" s="44">
        <f t="shared" si="10"/>
        <v>271.42</v>
      </c>
      <c r="L62" s="90">
        <f t="shared" si="2"/>
        <v>271.42</v>
      </c>
      <c r="M62" s="70">
        <v>1</v>
      </c>
      <c r="N62" s="71">
        <f t="shared" si="3"/>
        <v>271.42</v>
      </c>
      <c r="O62" s="72"/>
      <c r="P62" s="73">
        <f>O62*J62</f>
        <v>0</v>
      </c>
      <c r="Q62" s="70">
        <f t="shared" si="12"/>
        <v>1</v>
      </c>
      <c r="R62" s="74">
        <f t="shared" si="13"/>
        <v>271.42</v>
      </c>
      <c r="S62" s="75">
        <f t="shared" si="14"/>
        <v>1</v>
      </c>
      <c r="T62" s="76">
        <f t="shared" si="15"/>
        <v>0</v>
      </c>
      <c r="U62" s="77">
        <f t="shared" si="16"/>
        <v>0</v>
      </c>
      <c r="V62" s="78">
        <f t="shared" si="17"/>
        <v>0</v>
      </c>
    </row>
    <row r="63" spans="2:22" s="5" customFormat="1" ht="16.5" customHeight="1" x14ac:dyDescent="0.35">
      <c r="B63" s="4"/>
      <c r="C63" s="38" t="s">
        <v>362</v>
      </c>
      <c r="D63" s="38" t="s">
        <v>193</v>
      </c>
      <c r="E63" s="39" t="s">
        <v>617</v>
      </c>
      <c r="F63" s="40" t="s">
        <v>618</v>
      </c>
      <c r="G63" s="41" t="s">
        <v>120</v>
      </c>
      <c r="H63" s="42">
        <v>16</v>
      </c>
      <c r="I63" s="42">
        <v>16</v>
      </c>
      <c r="J63" s="43">
        <v>239.33</v>
      </c>
      <c r="K63" s="44">
        <f t="shared" si="10"/>
        <v>3829.28</v>
      </c>
      <c r="L63" s="90">
        <f t="shared" si="2"/>
        <v>3829.28</v>
      </c>
      <c r="M63" s="70">
        <v>16</v>
      </c>
      <c r="N63" s="71">
        <f t="shared" si="3"/>
        <v>3829.28</v>
      </c>
      <c r="O63" s="72"/>
      <c r="P63" s="73">
        <f t="shared" ref="P63:P111" si="18">O63*J63</f>
        <v>0</v>
      </c>
      <c r="Q63" s="70">
        <f t="shared" si="12"/>
        <v>16</v>
      </c>
      <c r="R63" s="74">
        <f t="shared" si="13"/>
        <v>3829.28</v>
      </c>
      <c r="S63" s="75">
        <f t="shared" si="14"/>
        <v>1</v>
      </c>
      <c r="T63" s="76">
        <f t="shared" si="15"/>
        <v>0</v>
      </c>
      <c r="U63" s="77">
        <f t="shared" si="16"/>
        <v>0</v>
      </c>
      <c r="V63" s="78">
        <f t="shared" si="17"/>
        <v>0</v>
      </c>
    </row>
    <row r="64" spans="2:22" s="5" customFormat="1" ht="16.5" customHeight="1" x14ac:dyDescent="0.35">
      <c r="B64" s="4"/>
      <c r="C64" s="38" t="s">
        <v>367</v>
      </c>
      <c r="D64" s="38" t="s">
        <v>193</v>
      </c>
      <c r="E64" s="39" t="s">
        <v>619</v>
      </c>
      <c r="F64" s="40" t="s">
        <v>620</v>
      </c>
      <c r="G64" s="41" t="s">
        <v>120</v>
      </c>
      <c r="H64" s="42">
        <v>4</v>
      </c>
      <c r="I64" s="42">
        <v>4</v>
      </c>
      <c r="J64" s="43">
        <v>167.13</v>
      </c>
      <c r="K64" s="44">
        <f t="shared" si="10"/>
        <v>668.52</v>
      </c>
      <c r="L64" s="90">
        <f t="shared" si="2"/>
        <v>668.52</v>
      </c>
      <c r="M64" s="70">
        <v>4</v>
      </c>
      <c r="N64" s="71">
        <f t="shared" si="3"/>
        <v>668.52</v>
      </c>
      <c r="O64" s="72"/>
      <c r="P64" s="73">
        <f t="shared" si="18"/>
        <v>0</v>
      </c>
      <c r="Q64" s="70">
        <f t="shared" si="12"/>
        <v>4</v>
      </c>
      <c r="R64" s="74">
        <f t="shared" si="13"/>
        <v>668.52</v>
      </c>
      <c r="S64" s="75">
        <f t="shared" si="14"/>
        <v>1</v>
      </c>
      <c r="T64" s="76">
        <f t="shared" si="15"/>
        <v>0</v>
      </c>
      <c r="U64" s="77">
        <f t="shared" si="16"/>
        <v>0</v>
      </c>
      <c r="V64" s="78">
        <f t="shared" si="17"/>
        <v>0</v>
      </c>
    </row>
    <row r="65" spans="2:22" s="5" customFormat="1" ht="16.5" customHeight="1" x14ac:dyDescent="0.35">
      <c r="B65" s="4"/>
      <c r="C65" s="38" t="s">
        <v>368</v>
      </c>
      <c r="D65" s="38" t="s">
        <v>193</v>
      </c>
      <c r="E65" s="39" t="s">
        <v>621</v>
      </c>
      <c r="F65" s="40" t="s">
        <v>622</v>
      </c>
      <c r="G65" s="41" t="s">
        <v>120</v>
      </c>
      <c r="H65" s="42">
        <v>2</v>
      </c>
      <c r="I65" s="42">
        <v>2</v>
      </c>
      <c r="J65" s="43">
        <v>117.66</v>
      </c>
      <c r="K65" s="44">
        <f t="shared" si="10"/>
        <v>235.32</v>
      </c>
      <c r="L65" s="90">
        <f t="shared" si="2"/>
        <v>235.32</v>
      </c>
      <c r="M65" s="70">
        <v>2</v>
      </c>
      <c r="N65" s="71">
        <f t="shared" si="3"/>
        <v>235.32</v>
      </c>
      <c r="O65" s="72"/>
      <c r="P65" s="73">
        <f t="shared" si="18"/>
        <v>0</v>
      </c>
      <c r="Q65" s="70">
        <f t="shared" si="12"/>
        <v>2</v>
      </c>
      <c r="R65" s="74">
        <f t="shared" si="13"/>
        <v>235.32</v>
      </c>
      <c r="S65" s="75">
        <f t="shared" si="14"/>
        <v>1</v>
      </c>
      <c r="T65" s="76">
        <f t="shared" si="15"/>
        <v>0</v>
      </c>
      <c r="U65" s="77">
        <f t="shared" si="16"/>
        <v>0</v>
      </c>
      <c r="V65" s="78">
        <f t="shared" si="17"/>
        <v>0</v>
      </c>
    </row>
    <row r="66" spans="2:22" s="5" customFormat="1" ht="16.5" customHeight="1" x14ac:dyDescent="0.35">
      <c r="B66" s="4"/>
      <c r="C66" s="38" t="s">
        <v>371</v>
      </c>
      <c r="D66" s="38" t="s">
        <v>193</v>
      </c>
      <c r="E66" s="39" t="s">
        <v>623</v>
      </c>
      <c r="F66" s="40" t="s">
        <v>624</v>
      </c>
      <c r="G66" s="41" t="s">
        <v>120</v>
      </c>
      <c r="H66" s="42">
        <v>24</v>
      </c>
      <c r="I66" s="42">
        <v>24</v>
      </c>
      <c r="J66" s="43">
        <v>76.209999999999994</v>
      </c>
      <c r="K66" s="44">
        <f t="shared" si="10"/>
        <v>1829.04</v>
      </c>
      <c r="L66" s="90">
        <f t="shared" si="2"/>
        <v>1829.04</v>
      </c>
      <c r="M66" s="70">
        <v>24</v>
      </c>
      <c r="N66" s="71">
        <f t="shared" si="3"/>
        <v>1829.04</v>
      </c>
      <c r="O66" s="72"/>
      <c r="P66" s="73">
        <f t="shared" si="18"/>
        <v>0</v>
      </c>
      <c r="Q66" s="70">
        <f t="shared" si="12"/>
        <v>24</v>
      </c>
      <c r="R66" s="74">
        <f t="shared" si="13"/>
        <v>1829.04</v>
      </c>
      <c r="S66" s="75">
        <f t="shared" si="14"/>
        <v>1</v>
      </c>
      <c r="T66" s="76">
        <f t="shared" si="15"/>
        <v>0</v>
      </c>
      <c r="U66" s="77">
        <f t="shared" si="16"/>
        <v>0</v>
      </c>
      <c r="V66" s="78">
        <f t="shared" si="17"/>
        <v>0</v>
      </c>
    </row>
    <row r="67" spans="2:22" s="5" customFormat="1" ht="16.5" customHeight="1" x14ac:dyDescent="0.35">
      <c r="B67" s="4"/>
      <c r="C67" s="38" t="s">
        <v>374</v>
      </c>
      <c r="D67" s="38" t="s">
        <v>193</v>
      </c>
      <c r="E67" s="39" t="s">
        <v>625</v>
      </c>
      <c r="F67" s="40" t="s">
        <v>626</v>
      </c>
      <c r="G67" s="41" t="s">
        <v>120</v>
      </c>
      <c r="H67" s="42">
        <v>1</v>
      </c>
      <c r="I67" s="42">
        <v>1</v>
      </c>
      <c r="J67" s="43">
        <v>65.52</v>
      </c>
      <c r="K67" s="44">
        <f t="shared" si="10"/>
        <v>65.52</v>
      </c>
      <c r="L67" s="90">
        <f t="shared" si="2"/>
        <v>65.52</v>
      </c>
      <c r="M67" s="70">
        <v>1</v>
      </c>
      <c r="N67" s="71">
        <f t="shared" si="3"/>
        <v>65.52</v>
      </c>
      <c r="O67" s="72"/>
      <c r="P67" s="73">
        <f t="shared" si="18"/>
        <v>0</v>
      </c>
      <c r="Q67" s="70">
        <f t="shared" si="12"/>
        <v>1</v>
      </c>
      <c r="R67" s="74">
        <f t="shared" si="13"/>
        <v>65.52</v>
      </c>
      <c r="S67" s="75">
        <f t="shared" si="14"/>
        <v>1</v>
      </c>
      <c r="T67" s="76">
        <f t="shared" si="15"/>
        <v>0</v>
      </c>
      <c r="U67" s="77">
        <f t="shared" si="16"/>
        <v>0</v>
      </c>
      <c r="V67" s="78">
        <f t="shared" si="17"/>
        <v>0</v>
      </c>
    </row>
    <row r="68" spans="2:22" s="5" customFormat="1" ht="16.5" customHeight="1" x14ac:dyDescent="0.35">
      <c r="B68" s="4"/>
      <c r="C68" s="38" t="s">
        <v>375</v>
      </c>
      <c r="D68" s="38" t="s">
        <v>193</v>
      </c>
      <c r="E68" s="39" t="s">
        <v>627</v>
      </c>
      <c r="F68" s="40" t="s">
        <v>628</v>
      </c>
      <c r="G68" s="41" t="s">
        <v>120</v>
      </c>
      <c r="H68" s="42">
        <v>1</v>
      </c>
      <c r="I68" s="42">
        <v>1</v>
      </c>
      <c r="J68" s="43">
        <v>470.64</v>
      </c>
      <c r="K68" s="44">
        <f t="shared" si="10"/>
        <v>470.64</v>
      </c>
      <c r="L68" s="90">
        <f t="shared" si="2"/>
        <v>470.64</v>
      </c>
      <c r="M68" s="70">
        <v>1</v>
      </c>
      <c r="N68" s="71">
        <f t="shared" si="3"/>
        <v>470.64</v>
      </c>
      <c r="O68" s="72"/>
      <c r="P68" s="73">
        <f t="shared" si="18"/>
        <v>0</v>
      </c>
      <c r="Q68" s="70">
        <f t="shared" si="12"/>
        <v>1</v>
      </c>
      <c r="R68" s="74">
        <f t="shared" si="13"/>
        <v>470.64</v>
      </c>
      <c r="S68" s="75">
        <f t="shared" si="14"/>
        <v>1</v>
      </c>
      <c r="T68" s="76">
        <f t="shared" si="15"/>
        <v>0</v>
      </c>
      <c r="U68" s="77">
        <f t="shared" si="16"/>
        <v>0</v>
      </c>
      <c r="V68" s="78">
        <f t="shared" si="17"/>
        <v>0</v>
      </c>
    </row>
    <row r="69" spans="2:22" s="5" customFormat="1" ht="16.5" customHeight="1" x14ac:dyDescent="0.35">
      <c r="B69" s="4"/>
      <c r="C69" s="38" t="s">
        <v>378</v>
      </c>
      <c r="D69" s="38" t="s">
        <v>193</v>
      </c>
      <c r="E69" s="39" t="s">
        <v>629</v>
      </c>
      <c r="F69" s="40" t="s">
        <v>630</v>
      </c>
      <c r="G69" s="41" t="s">
        <v>272</v>
      </c>
      <c r="H69" s="42">
        <v>1</v>
      </c>
      <c r="I69" s="42">
        <v>1</v>
      </c>
      <c r="J69" s="43">
        <v>3727.72</v>
      </c>
      <c r="K69" s="44">
        <f t="shared" si="10"/>
        <v>3727.72</v>
      </c>
      <c r="L69" s="90">
        <f t="shared" si="2"/>
        <v>3727.72</v>
      </c>
      <c r="M69" s="70">
        <v>1</v>
      </c>
      <c r="N69" s="71">
        <f t="shared" si="3"/>
        <v>3727.72</v>
      </c>
      <c r="O69" s="72"/>
      <c r="P69" s="73">
        <f t="shared" si="18"/>
        <v>0</v>
      </c>
      <c r="Q69" s="70">
        <f t="shared" si="12"/>
        <v>1</v>
      </c>
      <c r="R69" s="74">
        <f t="shared" si="13"/>
        <v>3727.72</v>
      </c>
      <c r="S69" s="75">
        <f t="shared" si="14"/>
        <v>1</v>
      </c>
      <c r="T69" s="76">
        <f t="shared" si="15"/>
        <v>0</v>
      </c>
      <c r="U69" s="77">
        <f t="shared" si="16"/>
        <v>0</v>
      </c>
      <c r="V69" s="78">
        <f t="shared" si="17"/>
        <v>0</v>
      </c>
    </row>
    <row r="70" spans="2:22" s="5" customFormat="1" ht="16.5" customHeight="1" x14ac:dyDescent="0.35">
      <c r="B70" s="4"/>
      <c r="C70" s="38" t="s">
        <v>381</v>
      </c>
      <c r="D70" s="38" t="s">
        <v>193</v>
      </c>
      <c r="E70" s="39" t="s">
        <v>631</v>
      </c>
      <c r="F70" s="40" t="s">
        <v>632</v>
      </c>
      <c r="G70" s="41" t="s">
        <v>272</v>
      </c>
      <c r="H70" s="42">
        <v>1</v>
      </c>
      <c r="I70" s="42">
        <v>1</v>
      </c>
      <c r="J70" s="43">
        <v>2739.63</v>
      </c>
      <c r="K70" s="44">
        <f t="shared" si="10"/>
        <v>2739.63</v>
      </c>
      <c r="L70" s="90">
        <f t="shared" si="2"/>
        <v>2739.63</v>
      </c>
      <c r="M70" s="70">
        <v>1</v>
      </c>
      <c r="N70" s="71">
        <f t="shared" si="3"/>
        <v>2739.63</v>
      </c>
      <c r="O70" s="72"/>
      <c r="P70" s="73">
        <f t="shared" si="18"/>
        <v>0</v>
      </c>
      <c r="Q70" s="70">
        <f t="shared" si="12"/>
        <v>1</v>
      </c>
      <c r="R70" s="74">
        <f t="shared" si="13"/>
        <v>2739.63</v>
      </c>
      <c r="S70" s="75">
        <f t="shared" si="14"/>
        <v>1</v>
      </c>
      <c r="T70" s="76">
        <f t="shared" si="15"/>
        <v>0</v>
      </c>
      <c r="U70" s="77">
        <f t="shared" si="16"/>
        <v>0</v>
      </c>
      <c r="V70" s="78">
        <f t="shared" si="17"/>
        <v>0</v>
      </c>
    </row>
    <row r="71" spans="2:22" s="5" customFormat="1" ht="16.5" customHeight="1" x14ac:dyDescent="0.35">
      <c r="B71" s="4"/>
      <c r="C71" s="38" t="s">
        <v>269</v>
      </c>
      <c r="D71" s="38" t="s">
        <v>193</v>
      </c>
      <c r="E71" s="39" t="s">
        <v>633</v>
      </c>
      <c r="F71" s="40" t="s">
        <v>634</v>
      </c>
      <c r="G71" s="41" t="s">
        <v>272</v>
      </c>
      <c r="H71" s="42">
        <v>1</v>
      </c>
      <c r="I71" s="42">
        <v>1</v>
      </c>
      <c r="J71" s="43">
        <v>799.56</v>
      </c>
      <c r="K71" s="44">
        <f t="shared" si="10"/>
        <v>799.56</v>
      </c>
      <c r="L71" s="90">
        <f t="shared" si="2"/>
        <v>799.56</v>
      </c>
      <c r="M71" s="70">
        <v>1</v>
      </c>
      <c r="N71" s="71">
        <f t="shared" si="3"/>
        <v>799.56</v>
      </c>
      <c r="O71" s="72"/>
      <c r="P71" s="73">
        <f t="shared" si="18"/>
        <v>0</v>
      </c>
      <c r="Q71" s="70">
        <f t="shared" si="12"/>
        <v>1</v>
      </c>
      <c r="R71" s="74">
        <f t="shared" si="13"/>
        <v>799.56</v>
      </c>
      <c r="S71" s="75">
        <f t="shared" si="14"/>
        <v>1</v>
      </c>
      <c r="T71" s="76">
        <f t="shared" si="15"/>
        <v>0</v>
      </c>
      <c r="U71" s="77">
        <f t="shared" si="16"/>
        <v>0</v>
      </c>
      <c r="V71" s="78">
        <f t="shared" si="17"/>
        <v>0</v>
      </c>
    </row>
    <row r="72" spans="2:22" s="5" customFormat="1" ht="16.5" customHeight="1" x14ac:dyDescent="0.35">
      <c r="B72" s="4"/>
      <c r="C72" s="38" t="s">
        <v>382</v>
      </c>
      <c r="D72" s="38" t="s">
        <v>193</v>
      </c>
      <c r="E72" s="39" t="s">
        <v>635</v>
      </c>
      <c r="F72" s="40" t="s">
        <v>636</v>
      </c>
      <c r="G72" s="41" t="s">
        <v>272</v>
      </c>
      <c r="H72" s="42">
        <v>7</v>
      </c>
      <c r="I72" s="42">
        <v>7</v>
      </c>
      <c r="J72" s="43">
        <v>562.9</v>
      </c>
      <c r="K72" s="44">
        <f t="shared" si="10"/>
        <v>3940.3</v>
      </c>
      <c r="L72" s="90">
        <f t="shared" si="2"/>
        <v>3940.2999999999997</v>
      </c>
      <c r="M72" s="70">
        <v>7</v>
      </c>
      <c r="N72" s="71">
        <f t="shared" si="3"/>
        <v>3940.2999999999997</v>
      </c>
      <c r="O72" s="72"/>
      <c r="P72" s="73">
        <f t="shared" si="18"/>
        <v>0</v>
      </c>
      <c r="Q72" s="70">
        <f t="shared" si="12"/>
        <v>7</v>
      </c>
      <c r="R72" s="74">
        <f t="shared" si="13"/>
        <v>3940.2999999999997</v>
      </c>
      <c r="S72" s="75">
        <f t="shared" si="14"/>
        <v>0.99999999999999989</v>
      </c>
      <c r="T72" s="76">
        <f t="shared" si="15"/>
        <v>0</v>
      </c>
      <c r="U72" s="77">
        <f t="shared" si="16"/>
        <v>0</v>
      </c>
      <c r="V72" s="78">
        <f t="shared" si="17"/>
        <v>0</v>
      </c>
    </row>
    <row r="73" spans="2:22" s="5" customFormat="1" ht="16.5" customHeight="1" x14ac:dyDescent="0.35">
      <c r="B73" s="4"/>
      <c r="C73" s="38" t="s">
        <v>383</v>
      </c>
      <c r="D73" s="38" t="s">
        <v>193</v>
      </c>
      <c r="E73" s="39" t="s">
        <v>637</v>
      </c>
      <c r="F73" s="40" t="s">
        <v>638</v>
      </c>
      <c r="G73" s="41" t="s">
        <v>272</v>
      </c>
      <c r="H73" s="42">
        <v>1</v>
      </c>
      <c r="I73" s="42">
        <v>1</v>
      </c>
      <c r="J73" s="43">
        <v>1778.29</v>
      </c>
      <c r="K73" s="44">
        <f t="shared" si="10"/>
        <v>1778.29</v>
      </c>
      <c r="L73" s="90">
        <f t="shared" si="2"/>
        <v>1778.29</v>
      </c>
      <c r="M73" s="70">
        <v>1</v>
      </c>
      <c r="N73" s="71">
        <f t="shared" si="3"/>
        <v>1778.29</v>
      </c>
      <c r="O73" s="72"/>
      <c r="P73" s="73">
        <f t="shared" si="18"/>
        <v>0</v>
      </c>
      <c r="Q73" s="70">
        <f t="shared" si="12"/>
        <v>1</v>
      </c>
      <c r="R73" s="74">
        <f t="shared" si="13"/>
        <v>1778.29</v>
      </c>
      <c r="S73" s="75">
        <f t="shared" si="14"/>
        <v>1</v>
      </c>
      <c r="T73" s="76">
        <f t="shared" si="15"/>
        <v>0</v>
      </c>
      <c r="U73" s="77">
        <f t="shared" si="16"/>
        <v>0</v>
      </c>
      <c r="V73" s="78">
        <f t="shared" si="17"/>
        <v>0</v>
      </c>
    </row>
    <row r="74" spans="2:22" s="5" customFormat="1" ht="16.5" customHeight="1" x14ac:dyDescent="0.35">
      <c r="B74" s="4"/>
      <c r="C74" s="38" t="s">
        <v>384</v>
      </c>
      <c r="D74" s="38" t="s">
        <v>193</v>
      </c>
      <c r="E74" s="39" t="s">
        <v>639</v>
      </c>
      <c r="F74" s="40" t="s">
        <v>640</v>
      </c>
      <c r="G74" s="41" t="s">
        <v>272</v>
      </c>
      <c r="H74" s="42">
        <v>3</v>
      </c>
      <c r="I74" s="42">
        <v>3</v>
      </c>
      <c r="J74" s="43">
        <v>577.61</v>
      </c>
      <c r="K74" s="44">
        <f t="shared" si="10"/>
        <v>1732.83</v>
      </c>
      <c r="L74" s="90">
        <f t="shared" si="2"/>
        <v>1732.83</v>
      </c>
      <c r="M74" s="70">
        <v>3</v>
      </c>
      <c r="N74" s="71">
        <f t="shared" si="3"/>
        <v>1732.83</v>
      </c>
      <c r="O74" s="72"/>
      <c r="P74" s="73">
        <f t="shared" si="18"/>
        <v>0</v>
      </c>
      <c r="Q74" s="70">
        <f t="shared" si="12"/>
        <v>3</v>
      </c>
      <c r="R74" s="74">
        <f t="shared" si="13"/>
        <v>1732.83</v>
      </c>
      <c r="S74" s="75">
        <f t="shared" si="14"/>
        <v>1</v>
      </c>
      <c r="T74" s="76">
        <f t="shared" si="15"/>
        <v>0</v>
      </c>
      <c r="U74" s="77">
        <f t="shared" si="16"/>
        <v>0</v>
      </c>
      <c r="V74" s="78">
        <f t="shared" si="17"/>
        <v>0</v>
      </c>
    </row>
    <row r="75" spans="2:22" s="5" customFormat="1" ht="16.5" customHeight="1" x14ac:dyDescent="0.35">
      <c r="B75" s="4"/>
      <c r="C75" s="38" t="s">
        <v>385</v>
      </c>
      <c r="D75" s="38" t="s">
        <v>193</v>
      </c>
      <c r="E75" s="39" t="s">
        <v>641</v>
      </c>
      <c r="F75" s="40" t="s">
        <v>642</v>
      </c>
      <c r="G75" s="41" t="s">
        <v>272</v>
      </c>
      <c r="H75" s="42">
        <v>8</v>
      </c>
      <c r="I75" s="42">
        <v>8</v>
      </c>
      <c r="J75" s="43">
        <v>308.86</v>
      </c>
      <c r="K75" s="44">
        <f t="shared" si="10"/>
        <v>2470.88</v>
      </c>
      <c r="L75" s="90">
        <f t="shared" si="2"/>
        <v>2470.88</v>
      </c>
      <c r="M75" s="70">
        <v>8</v>
      </c>
      <c r="N75" s="71">
        <f t="shared" si="3"/>
        <v>2470.88</v>
      </c>
      <c r="O75" s="72"/>
      <c r="P75" s="73">
        <f t="shared" si="18"/>
        <v>0</v>
      </c>
      <c r="Q75" s="70">
        <f t="shared" si="12"/>
        <v>8</v>
      </c>
      <c r="R75" s="74">
        <f t="shared" si="13"/>
        <v>2470.88</v>
      </c>
      <c r="S75" s="75">
        <f t="shared" si="14"/>
        <v>1</v>
      </c>
      <c r="T75" s="76">
        <f t="shared" si="15"/>
        <v>0</v>
      </c>
      <c r="U75" s="77">
        <f t="shared" si="16"/>
        <v>0</v>
      </c>
      <c r="V75" s="78">
        <f t="shared" si="17"/>
        <v>0</v>
      </c>
    </row>
    <row r="76" spans="2:22" s="5" customFormat="1" ht="16.5" customHeight="1" x14ac:dyDescent="0.35">
      <c r="B76" s="4"/>
      <c r="C76" s="38" t="s">
        <v>386</v>
      </c>
      <c r="D76" s="38" t="s">
        <v>193</v>
      </c>
      <c r="E76" s="39" t="s">
        <v>643</v>
      </c>
      <c r="F76" s="40" t="s">
        <v>644</v>
      </c>
      <c r="G76" s="41" t="s">
        <v>272</v>
      </c>
      <c r="H76" s="42">
        <v>6</v>
      </c>
      <c r="I76" s="42">
        <v>6</v>
      </c>
      <c r="J76" s="43">
        <v>303.51</v>
      </c>
      <c r="K76" s="44">
        <f t="shared" si="10"/>
        <v>1821.06</v>
      </c>
      <c r="L76" s="90">
        <f t="shared" si="2"/>
        <v>1821.06</v>
      </c>
      <c r="M76" s="70">
        <v>6</v>
      </c>
      <c r="N76" s="71">
        <f t="shared" si="3"/>
        <v>1821.06</v>
      </c>
      <c r="O76" s="72"/>
      <c r="P76" s="73">
        <f t="shared" si="18"/>
        <v>0</v>
      </c>
      <c r="Q76" s="70">
        <f t="shared" si="12"/>
        <v>6</v>
      </c>
      <c r="R76" s="74">
        <f t="shared" si="13"/>
        <v>1821.06</v>
      </c>
      <c r="S76" s="75">
        <f t="shared" si="14"/>
        <v>1</v>
      </c>
      <c r="T76" s="76">
        <f t="shared" si="15"/>
        <v>0</v>
      </c>
      <c r="U76" s="77">
        <f t="shared" si="16"/>
        <v>0</v>
      </c>
      <c r="V76" s="78">
        <f t="shared" si="17"/>
        <v>0</v>
      </c>
    </row>
    <row r="77" spans="2:22" s="5" customFormat="1" ht="16.5" customHeight="1" x14ac:dyDescent="0.35">
      <c r="B77" s="4"/>
      <c r="C77" s="38" t="s">
        <v>387</v>
      </c>
      <c r="D77" s="38" t="s">
        <v>193</v>
      </c>
      <c r="E77" s="39" t="s">
        <v>645</v>
      </c>
      <c r="F77" s="40" t="s">
        <v>646</v>
      </c>
      <c r="G77" s="41" t="s">
        <v>272</v>
      </c>
      <c r="H77" s="42">
        <v>4</v>
      </c>
      <c r="I77" s="42">
        <v>4</v>
      </c>
      <c r="J77" s="43">
        <v>183.18</v>
      </c>
      <c r="K77" s="44">
        <f t="shared" si="10"/>
        <v>732.72</v>
      </c>
      <c r="L77" s="90">
        <f t="shared" si="2"/>
        <v>732.72</v>
      </c>
      <c r="M77" s="70">
        <v>4</v>
      </c>
      <c r="N77" s="71">
        <f t="shared" si="3"/>
        <v>732.72</v>
      </c>
      <c r="O77" s="72"/>
      <c r="P77" s="73">
        <f t="shared" si="18"/>
        <v>0</v>
      </c>
      <c r="Q77" s="70">
        <f t="shared" si="12"/>
        <v>4</v>
      </c>
      <c r="R77" s="74">
        <f t="shared" si="13"/>
        <v>732.72</v>
      </c>
      <c r="S77" s="75">
        <f t="shared" si="14"/>
        <v>1</v>
      </c>
      <c r="T77" s="76">
        <f t="shared" si="15"/>
        <v>0</v>
      </c>
      <c r="U77" s="77">
        <f t="shared" si="16"/>
        <v>0</v>
      </c>
      <c r="V77" s="78">
        <f t="shared" si="17"/>
        <v>0</v>
      </c>
    </row>
    <row r="78" spans="2:22" s="5" customFormat="1" ht="16.5" customHeight="1" x14ac:dyDescent="0.35">
      <c r="B78" s="4"/>
      <c r="C78" s="38" t="s">
        <v>388</v>
      </c>
      <c r="D78" s="38" t="s">
        <v>193</v>
      </c>
      <c r="E78" s="39" t="s">
        <v>647</v>
      </c>
      <c r="F78" s="40" t="s">
        <v>648</v>
      </c>
      <c r="G78" s="41" t="s">
        <v>272</v>
      </c>
      <c r="H78" s="42">
        <v>2</v>
      </c>
      <c r="I78" s="42">
        <v>2</v>
      </c>
      <c r="J78" s="43">
        <v>204.57</v>
      </c>
      <c r="K78" s="44">
        <f t="shared" si="10"/>
        <v>409.14</v>
      </c>
      <c r="L78" s="90">
        <f t="shared" si="2"/>
        <v>409.14</v>
      </c>
      <c r="M78" s="70">
        <v>2</v>
      </c>
      <c r="N78" s="71">
        <f t="shared" si="3"/>
        <v>409.14</v>
      </c>
      <c r="O78" s="72"/>
      <c r="P78" s="73">
        <f t="shared" si="18"/>
        <v>0</v>
      </c>
      <c r="Q78" s="70">
        <f t="shared" si="12"/>
        <v>2</v>
      </c>
      <c r="R78" s="74">
        <f t="shared" si="13"/>
        <v>409.14</v>
      </c>
      <c r="S78" s="75">
        <f t="shared" si="14"/>
        <v>1</v>
      </c>
      <c r="T78" s="76">
        <f t="shared" si="15"/>
        <v>0</v>
      </c>
      <c r="U78" s="77">
        <f t="shared" si="16"/>
        <v>0</v>
      </c>
      <c r="V78" s="78">
        <f t="shared" si="17"/>
        <v>0</v>
      </c>
    </row>
    <row r="79" spans="2:22" s="5" customFormat="1" ht="16.5" customHeight="1" x14ac:dyDescent="0.35">
      <c r="B79" s="4"/>
      <c r="C79" s="38" t="s">
        <v>390</v>
      </c>
      <c r="D79" s="38" t="s">
        <v>193</v>
      </c>
      <c r="E79" s="39" t="s">
        <v>649</v>
      </c>
      <c r="F79" s="40" t="s">
        <v>650</v>
      </c>
      <c r="G79" s="41" t="s">
        <v>272</v>
      </c>
      <c r="H79" s="42">
        <v>22</v>
      </c>
      <c r="I79" s="42">
        <v>22</v>
      </c>
      <c r="J79" s="43">
        <v>38.770000000000003</v>
      </c>
      <c r="K79" s="44">
        <f t="shared" si="10"/>
        <v>852.94</v>
      </c>
      <c r="L79" s="90">
        <f t="shared" si="2"/>
        <v>852.94</v>
      </c>
      <c r="M79" s="70">
        <v>22</v>
      </c>
      <c r="N79" s="71">
        <f t="shared" si="3"/>
        <v>852.94</v>
      </c>
      <c r="O79" s="72"/>
      <c r="P79" s="73">
        <f t="shared" si="18"/>
        <v>0</v>
      </c>
      <c r="Q79" s="70">
        <f t="shared" si="12"/>
        <v>22</v>
      </c>
      <c r="R79" s="74">
        <f t="shared" si="13"/>
        <v>852.94</v>
      </c>
      <c r="S79" s="75">
        <f t="shared" si="14"/>
        <v>1</v>
      </c>
      <c r="T79" s="76">
        <f t="shared" si="15"/>
        <v>0</v>
      </c>
      <c r="U79" s="77">
        <f t="shared" si="16"/>
        <v>0</v>
      </c>
      <c r="V79" s="78">
        <f t="shared" si="17"/>
        <v>0</v>
      </c>
    </row>
    <row r="80" spans="2:22" s="5" customFormat="1" ht="16.5" customHeight="1" x14ac:dyDescent="0.35">
      <c r="B80" s="4"/>
      <c r="C80" s="38" t="s">
        <v>391</v>
      </c>
      <c r="D80" s="38" t="s">
        <v>193</v>
      </c>
      <c r="E80" s="39" t="s">
        <v>651</v>
      </c>
      <c r="F80" s="40" t="s">
        <v>652</v>
      </c>
      <c r="G80" s="41" t="s">
        <v>272</v>
      </c>
      <c r="H80" s="42">
        <v>10</v>
      </c>
      <c r="I80" s="42">
        <v>10</v>
      </c>
      <c r="J80" s="43">
        <v>44.12</v>
      </c>
      <c r="K80" s="44">
        <f t="shared" si="10"/>
        <v>441.2</v>
      </c>
      <c r="L80" s="90">
        <f t="shared" si="2"/>
        <v>441.2</v>
      </c>
      <c r="M80" s="70">
        <v>10</v>
      </c>
      <c r="N80" s="71">
        <f t="shared" si="3"/>
        <v>441.2</v>
      </c>
      <c r="O80" s="72"/>
      <c r="P80" s="73">
        <f t="shared" si="18"/>
        <v>0</v>
      </c>
      <c r="Q80" s="70">
        <f t="shared" si="12"/>
        <v>10</v>
      </c>
      <c r="R80" s="74">
        <f t="shared" si="13"/>
        <v>441.2</v>
      </c>
      <c r="S80" s="75">
        <f t="shared" si="14"/>
        <v>1</v>
      </c>
      <c r="T80" s="76">
        <f t="shared" si="15"/>
        <v>0</v>
      </c>
      <c r="U80" s="77">
        <f t="shared" si="16"/>
        <v>0</v>
      </c>
      <c r="V80" s="78">
        <f t="shared" si="17"/>
        <v>0</v>
      </c>
    </row>
    <row r="81" spans="2:22" s="5" customFormat="1" ht="16.5" customHeight="1" x14ac:dyDescent="0.35">
      <c r="B81" s="4"/>
      <c r="C81" s="38" t="s">
        <v>307</v>
      </c>
      <c r="D81" s="38" t="s">
        <v>193</v>
      </c>
      <c r="E81" s="39" t="s">
        <v>653</v>
      </c>
      <c r="F81" s="40" t="s">
        <v>654</v>
      </c>
      <c r="G81" s="41" t="s">
        <v>272</v>
      </c>
      <c r="H81" s="42">
        <v>1</v>
      </c>
      <c r="I81" s="42">
        <v>1</v>
      </c>
      <c r="J81" s="43">
        <v>492.04</v>
      </c>
      <c r="K81" s="44">
        <f t="shared" si="10"/>
        <v>492.04</v>
      </c>
      <c r="L81" s="90">
        <f t="shared" si="2"/>
        <v>492.04</v>
      </c>
      <c r="M81" s="70">
        <v>1</v>
      </c>
      <c r="N81" s="71">
        <f t="shared" si="3"/>
        <v>492.04</v>
      </c>
      <c r="O81" s="72"/>
      <c r="P81" s="73">
        <f t="shared" si="18"/>
        <v>0</v>
      </c>
      <c r="Q81" s="70">
        <f t="shared" si="12"/>
        <v>1</v>
      </c>
      <c r="R81" s="74">
        <f t="shared" si="13"/>
        <v>492.04</v>
      </c>
      <c r="S81" s="75">
        <f t="shared" si="14"/>
        <v>1</v>
      </c>
      <c r="T81" s="76">
        <f t="shared" si="15"/>
        <v>0</v>
      </c>
      <c r="U81" s="77">
        <f t="shared" si="16"/>
        <v>0</v>
      </c>
      <c r="V81" s="78">
        <f t="shared" si="17"/>
        <v>0</v>
      </c>
    </row>
    <row r="82" spans="2:22" s="5" customFormat="1" ht="16.5" customHeight="1" x14ac:dyDescent="0.35">
      <c r="B82" s="4"/>
      <c r="C82" s="38" t="s">
        <v>305</v>
      </c>
      <c r="D82" s="38" t="s">
        <v>193</v>
      </c>
      <c r="E82" s="39" t="s">
        <v>655</v>
      </c>
      <c r="F82" s="40" t="s">
        <v>656</v>
      </c>
      <c r="G82" s="41" t="s">
        <v>272</v>
      </c>
      <c r="H82" s="42">
        <v>1</v>
      </c>
      <c r="I82" s="42">
        <v>1</v>
      </c>
      <c r="J82" s="43">
        <v>1616.5</v>
      </c>
      <c r="K82" s="44">
        <f t="shared" si="10"/>
        <v>1616.5</v>
      </c>
      <c r="L82" s="90">
        <f t="shared" si="2"/>
        <v>1616.5</v>
      </c>
      <c r="M82" s="70">
        <v>1</v>
      </c>
      <c r="N82" s="71">
        <f t="shared" si="3"/>
        <v>1616.5</v>
      </c>
      <c r="O82" s="72"/>
      <c r="P82" s="73">
        <f t="shared" si="18"/>
        <v>0</v>
      </c>
      <c r="Q82" s="70">
        <f t="shared" si="12"/>
        <v>1</v>
      </c>
      <c r="R82" s="74">
        <f t="shared" si="13"/>
        <v>1616.5</v>
      </c>
      <c r="S82" s="75">
        <f t="shared" si="14"/>
        <v>1</v>
      </c>
      <c r="T82" s="76">
        <f t="shared" si="15"/>
        <v>0</v>
      </c>
      <c r="U82" s="77">
        <f t="shared" si="16"/>
        <v>0</v>
      </c>
      <c r="V82" s="78">
        <f t="shared" si="17"/>
        <v>0</v>
      </c>
    </row>
    <row r="83" spans="2:22" s="5" customFormat="1" ht="16.5" customHeight="1" x14ac:dyDescent="0.35">
      <c r="B83" s="4"/>
      <c r="C83" s="38" t="s">
        <v>303</v>
      </c>
      <c r="D83" s="38" t="s">
        <v>193</v>
      </c>
      <c r="E83" s="39" t="s">
        <v>657</v>
      </c>
      <c r="F83" s="40" t="s">
        <v>658</v>
      </c>
      <c r="G83" s="41" t="s">
        <v>272</v>
      </c>
      <c r="H83" s="42">
        <v>4</v>
      </c>
      <c r="I83" s="42">
        <v>4</v>
      </c>
      <c r="J83" s="43">
        <v>61.5</v>
      </c>
      <c r="K83" s="44">
        <f t="shared" si="10"/>
        <v>246</v>
      </c>
      <c r="L83" s="90">
        <f t="shared" si="2"/>
        <v>246</v>
      </c>
      <c r="M83" s="70">
        <v>4</v>
      </c>
      <c r="N83" s="71">
        <f t="shared" si="3"/>
        <v>246</v>
      </c>
      <c r="O83" s="72"/>
      <c r="P83" s="73">
        <f t="shared" si="18"/>
        <v>0</v>
      </c>
      <c r="Q83" s="70">
        <f t="shared" si="12"/>
        <v>4</v>
      </c>
      <c r="R83" s="74">
        <f t="shared" si="13"/>
        <v>246</v>
      </c>
      <c r="S83" s="75">
        <f t="shared" si="14"/>
        <v>1</v>
      </c>
      <c r="T83" s="76">
        <f t="shared" si="15"/>
        <v>0</v>
      </c>
      <c r="U83" s="77">
        <f t="shared" si="16"/>
        <v>0</v>
      </c>
      <c r="V83" s="78">
        <f t="shared" si="17"/>
        <v>0</v>
      </c>
    </row>
    <row r="84" spans="2:22" s="5" customFormat="1" ht="16.5" customHeight="1" x14ac:dyDescent="0.35">
      <c r="B84" s="4"/>
      <c r="C84" s="38" t="s">
        <v>392</v>
      </c>
      <c r="D84" s="38" t="s">
        <v>193</v>
      </c>
      <c r="E84" s="39" t="s">
        <v>659</v>
      </c>
      <c r="F84" s="40" t="s">
        <v>660</v>
      </c>
      <c r="G84" s="41" t="s">
        <v>272</v>
      </c>
      <c r="H84" s="42">
        <v>2</v>
      </c>
      <c r="I84" s="42">
        <v>2</v>
      </c>
      <c r="J84" s="43">
        <v>229.97</v>
      </c>
      <c r="K84" s="44">
        <f t="shared" si="10"/>
        <v>459.94</v>
      </c>
      <c r="L84" s="90">
        <f t="shared" si="2"/>
        <v>459.94</v>
      </c>
      <c r="M84" s="70">
        <v>2</v>
      </c>
      <c r="N84" s="71">
        <f t="shared" si="3"/>
        <v>459.94</v>
      </c>
      <c r="O84" s="72"/>
      <c r="P84" s="73">
        <f t="shared" si="18"/>
        <v>0</v>
      </c>
      <c r="Q84" s="70">
        <f t="shared" si="12"/>
        <v>2</v>
      </c>
      <c r="R84" s="74">
        <f t="shared" si="13"/>
        <v>459.94</v>
      </c>
      <c r="S84" s="75">
        <f t="shared" si="14"/>
        <v>1</v>
      </c>
      <c r="T84" s="76">
        <f t="shared" si="15"/>
        <v>0</v>
      </c>
      <c r="U84" s="77">
        <f t="shared" si="16"/>
        <v>0</v>
      </c>
      <c r="V84" s="78">
        <f t="shared" si="17"/>
        <v>0</v>
      </c>
    </row>
    <row r="85" spans="2:22" s="5" customFormat="1" ht="16.5" customHeight="1" x14ac:dyDescent="0.35">
      <c r="B85" s="4"/>
      <c r="C85" s="38" t="s">
        <v>85</v>
      </c>
      <c r="D85" s="38" t="s">
        <v>193</v>
      </c>
      <c r="E85" s="39" t="s">
        <v>661</v>
      </c>
      <c r="F85" s="40" t="s">
        <v>662</v>
      </c>
      <c r="G85" s="41" t="s">
        <v>272</v>
      </c>
      <c r="H85" s="42">
        <v>6</v>
      </c>
      <c r="I85" s="42">
        <v>6</v>
      </c>
      <c r="J85" s="43">
        <v>192.54</v>
      </c>
      <c r="K85" s="44">
        <f t="shared" si="10"/>
        <v>1155.24</v>
      </c>
      <c r="L85" s="90">
        <f t="shared" ref="L85:L111" si="19">I85*J85</f>
        <v>1155.24</v>
      </c>
      <c r="M85" s="70">
        <v>6</v>
      </c>
      <c r="N85" s="71">
        <f t="shared" ref="N85:N111" si="20">M85*J85</f>
        <v>1155.24</v>
      </c>
      <c r="O85" s="72"/>
      <c r="P85" s="73">
        <f t="shared" si="18"/>
        <v>0</v>
      </c>
      <c r="Q85" s="70">
        <f t="shared" si="12"/>
        <v>6</v>
      </c>
      <c r="R85" s="74">
        <f t="shared" si="13"/>
        <v>1155.24</v>
      </c>
      <c r="S85" s="75">
        <f t="shared" si="14"/>
        <v>1</v>
      </c>
      <c r="T85" s="76">
        <f t="shared" si="15"/>
        <v>0</v>
      </c>
      <c r="U85" s="77">
        <f t="shared" si="16"/>
        <v>0</v>
      </c>
      <c r="V85" s="78">
        <f t="shared" si="17"/>
        <v>0</v>
      </c>
    </row>
    <row r="86" spans="2:22" s="5" customFormat="1" ht="16.5" customHeight="1" x14ac:dyDescent="0.35">
      <c r="B86" s="4"/>
      <c r="C86" s="38" t="s">
        <v>393</v>
      </c>
      <c r="D86" s="38" t="s">
        <v>193</v>
      </c>
      <c r="E86" s="39" t="s">
        <v>663</v>
      </c>
      <c r="F86" s="40" t="s">
        <v>664</v>
      </c>
      <c r="G86" s="41" t="s">
        <v>272</v>
      </c>
      <c r="H86" s="42">
        <v>1</v>
      </c>
      <c r="I86" s="42">
        <v>1</v>
      </c>
      <c r="J86" s="43">
        <v>86.91</v>
      </c>
      <c r="K86" s="44">
        <f t="shared" si="10"/>
        <v>86.91</v>
      </c>
      <c r="L86" s="90">
        <f t="shared" si="19"/>
        <v>86.91</v>
      </c>
      <c r="M86" s="70">
        <v>1</v>
      </c>
      <c r="N86" s="71">
        <f t="shared" si="20"/>
        <v>86.91</v>
      </c>
      <c r="O86" s="72"/>
      <c r="P86" s="73">
        <f t="shared" si="18"/>
        <v>0</v>
      </c>
      <c r="Q86" s="70">
        <f t="shared" si="12"/>
        <v>1</v>
      </c>
      <c r="R86" s="74">
        <f t="shared" si="13"/>
        <v>86.91</v>
      </c>
      <c r="S86" s="75">
        <f t="shared" si="14"/>
        <v>1</v>
      </c>
      <c r="T86" s="76">
        <f t="shared" si="15"/>
        <v>0</v>
      </c>
      <c r="U86" s="77">
        <f t="shared" si="16"/>
        <v>0</v>
      </c>
      <c r="V86" s="78">
        <f t="shared" si="17"/>
        <v>0</v>
      </c>
    </row>
    <row r="87" spans="2:22" s="5" customFormat="1" ht="16.5" customHeight="1" x14ac:dyDescent="0.35">
      <c r="B87" s="4"/>
      <c r="C87" s="38" t="s">
        <v>395</v>
      </c>
      <c r="D87" s="38" t="s">
        <v>193</v>
      </c>
      <c r="E87" s="39" t="s">
        <v>665</v>
      </c>
      <c r="F87" s="40" t="s">
        <v>666</v>
      </c>
      <c r="G87" s="41" t="s">
        <v>272</v>
      </c>
      <c r="H87" s="42">
        <v>1</v>
      </c>
      <c r="I87" s="42">
        <v>1</v>
      </c>
      <c r="J87" s="43">
        <v>219.28</v>
      </c>
      <c r="K87" s="44">
        <f t="shared" si="10"/>
        <v>219.28</v>
      </c>
      <c r="L87" s="90">
        <f t="shared" si="19"/>
        <v>219.28</v>
      </c>
      <c r="M87" s="70">
        <v>1</v>
      </c>
      <c r="N87" s="71">
        <f t="shared" si="20"/>
        <v>219.28</v>
      </c>
      <c r="O87" s="72"/>
      <c r="P87" s="73">
        <f t="shared" si="18"/>
        <v>0</v>
      </c>
      <c r="Q87" s="70">
        <f t="shared" si="12"/>
        <v>1</v>
      </c>
      <c r="R87" s="74">
        <f t="shared" si="13"/>
        <v>219.28</v>
      </c>
      <c r="S87" s="75">
        <f t="shared" si="14"/>
        <v>1</v>
      </c>
      <c r="T87" s="76">
        <f t="shared" si="15"/>
        <v>0</v>
      </c>
      <c r="U87" s="77">
        <f t="shared" si="16"/>
        <v>0</v>
      </c>
      <c r="V87" s="78">
        <f t="shared" si="17"/>
        <v>0</v>
      </c>
    </row>
    <row r="88" spans="2:22" s="5" customFormat="1" ht="16.5" customHeight="1" x14ac:dyDescent="0.35">
      <c r="B88" s="4"/>
      <c r="C88" s="38" t="s">
        <v>398</v>
      </c>
      <c r="D88" s="38" t="s">
        <v>193</v>
      </c>
      <c r="E88" s="39" t="s">
        <v>667</v>
      </c>
      <c r="F88" s="40" t="s">
        <v>668</v>
      </c>
      <c r="G88" s="41" t="s">
        <v>272</v>
      </c>
      <c r="H88" s="42">
        <v>2</v>
      </c>
      <c r="I88" s="42">
        <v>2</v>
      </c>
      <c r="J88" s="43">
        <v>401.12</v>
      </c>
      <c r="K88" s="44">
        <f t="shared" si="10"/>
        <v>802.24</v>
      </c>
      <c r="L88" s="90">
        <f t="shared" si="19"/>
        <v>802.24</v>
      </c>
      <c r="M88" s="70">
        <v>2</v>
      </c>
      <c r="N88" s="71">
        <f t="shared" si="20"/>
        <v>802.24</v>
      </c>
      <c r="O88" s="72"/>
      <c r="P88" s="73">
        <f t="shared" si="18"/>
        <v>0</v>
      </c>
      <c r="Q88" s="70">
        <f t="shared" si="12"/>
        <v>2</v>
      </c>
      <c r="R88" s="74">
        <f t="shared" si="13"/>
        <v>802.24</v>
      </c>
      <c r="S88" s="75">
        <f t="shared" si="14"/>
        <v>1</v>
      </c>
      <c r="T88" s="76">
        <f t="shared" si="15"/>
        <v>0</v>
      </c>
      <c r="U88" s="77">
        <f t="shared" si="16"/>
        <v>0</v>
      </c>
      <c r="V88" s="78">
        <f t="shared" si="17"/>
        <v>0</v>
      </c>
    </row>
    <row r="89" spans="2:22" s="5" customFormat="1" ht="16.5" customHeight="1" x14ac:dyDescent="0.35">
      <c r="B89" s="4"/>
      <c r="C89" s="38" t="s">
        <v>401</v>
      </c>
      <c r="D89" s="38" t="s">
        <v>193</v>
      </c>
      <c r="E89" s="39" t="s">
        <v>669</v>
      </c>
      <c r="F89" s="40" t="s">
        <v>670</v>
      </c>
      <c r="G89" s="41" t="s">
        <v>272</v>
      </c>
      <c r="H89" s="42">
        <v>2</v>
      </c>
      <c r="I89" s="42">
        <v>2</v>
      </c>
      <c r="J89" s="43">
        <v>242.01</v>
      </c>
      <c r="K89" s="44">
        <f t="shared" si="10"/>
        <v>484.02</v>
      </c>
      <c r="L89" s="90">
        <f t="shared" si="19"/>
        <v>484.02</v>
      </c>
      <c r="M89" s="70">
        <v>2</v>
      </c>
      <c r="N89" s="71">
        <f t="shared" si="20"/>
        <v>484.02</v>
      </c>
      <c r="O89" s="72"/>
      <c r="P89" s="73">
        <f t="shared" si="18"/>
        <v>0</v>
      </c>
      <c r="Q89" s="70">
        <f t="shared" si="12"/>
        <v>2</v>
      </c>
      <c r="R89" s="74">
        <f t="shared" si="13"/>
        <v>484.02</v>
      </c>
      <c r="S89" s="75">
        <f t="shared" si="14"/>
        <v>1</v>
      </c>
      <c r="T89" s="76">
        <f t="shared" si="15"/>
        <v>0</v>
      </c>
      <c r="U89" s="77">
        <f t="shared" si="16"/>
        <v>0</v>
      </c>
      <c r="V89" s="78">
        <f t="shared" si="17"/>
        <v>0</v>
      </c>
    </row>
    <row r="90" spans="2:22" s="5" customFormat="1" ht="16.5" customHeight="1" x14ac:dyDescent="0.35">
      <c r="B90" s="4"/>
      <c r="C90" s="38" t="s">
        <v>404</v>
      </c>
      <c r="D90" s="38" t="s">
        <v>193</v>
      </c>
      <c r="E90" s="39" t="s">
        <v>671</v>
      </c>
      <c r="F90" s="40" t="s">
        <v>672</v>
      </c>
      <c r="G90" s="41" t="s">
        <v>272</v>
      </c>
      <c r="H90" s="42">
        <v>2</v>
      </c>
      <c r="I90" s="42">
        <v>2</v>
      </c>
      <c r="J90" s="43">
        <v>84.23</v>
      </c>
      <c r="K90" s="44">
        <f t="shared" si="10"/>
        <v>168.46</v>
      </c>
      <c r="L90" s="90">
        <f t="shared" si="19"/>
        <v>168.46</v>
      </c>
      <c r="M90" s="70">
        <v>2</v>
      </c>
      <c r="N90" s="71">
        <f t="shared" si="20"/>
        <v>168.46</v>
      </c>
      <c r="O90" s="72"/>
      <c r="P90" s="73">
        <f t="shared" si="18"/>
        <v>0</v>
      </c>
      <c r="Q90" s="70">
        <f t="shared" si="12"/>
        <v>2</v>
      </c>
      <c r="R90" s="74">
        <f t="shared" si="13"/>
        <v>168.46</v>
      </c>
      <c r="S90" s="75">
        <f t="shared" si="14"/>
        <v>1</v>
      </c>
      <c r="T90" s="76">
        <f t="shared" si="15"/>
        <v>0</v>
      </c>
      <c r="U90" s="77">
        <f t="shared" si="16"/>
        <v>0</v>
      </c>
      <c r="V90" s="78">
        <f t="shared" si="17"/>
        <v>0</v>
      </c>
    </row>
    <row r="91" spans="2:22" s="5" customFormat="1" ht="16.5" customHeight="1" x14ac:dyDescent="0.35">
      <c r="B91" s="4"/>
      <c r="C91" s="38" t="s">
        <v>409</v>
      </c>
      <c r="D91" s="38" t="s">
        <v>193</v>
      </c>
      <c r="E91" s="39" t="s">
        <v>673</v>
      </c>
      <c r="F91" s="40" t="s">
        <v>674</v>
      </c>
      <c r="G91" s="41" t="s">
        <v>272</v>
      </c>
      <c r="H91" s="42">
        <v>1</v>
      </c>
      <c r="I91" s="42">
        <v>1</v>
      </c>
      <c r="J91" s="43">
        <v>20.059999999999999</v>
      </c>
      <c r="K91" s="44">
        <f t="shared" si="10"/>
        <v>20.059999999999999</v>
      </c>
      <c r="L91" s="90">
        <f t="shared" si="19"/>
        <v>20.059999999999999</v>
      </c>
      <c r="M91" s="70">
        <v>1</v>
      </c>
      <c r="N91" s="71">
        <f t="shared" si="20"/>
        <v>20.059999999999999</v>
      </c>
      <c r="O91" s="72"/>
      <c r="P91" s="73">
        <f t="shared" si="18"/>
        <v>0</v>
      </c>
      <c r="Q91" s="70">
        <f t="shared" si="12"/>
        <v>1</v>
      </c>
      <c r="R91" s="74">
        <f t="shared" si="13"/>
        <v>20.059999999999999</v>
      </c>
      <c r="S91" s="75">
        <f t="shared" si="14"/>
        <v>1</v>
      </c>
      <c r="T91" s="76">
        <f t="shared" si="15"/>
        <v>0</v>
      </c>
      <c r="U91" s="77">
        <f t="shared" si="16"/>
        <v>0</v>
      </c>
      <c r="V91" s="78">
        <f t="shared" si="17"/>
        <v>0</v>
      </c>
    </row>
    <row r="92" spans="2:22" s="5" customFormat="1" ht="16.5" customHeight="1" x14ac:dyDescent="0.35">
      <c r="B92" s="4"/>
      <c r="C92" s="38" t="s">
        <v>412</v>
      </c>
      <c r="D92" s="38" t="s">
        <v>193</v>
      </c>
      <c r="E92" s="39" t="s">
        <v>675</v>
      </c>
      <c r="F92" s="40" t="s">
        <v>676</v>
      </c>
      <c r="G92" s="41" t="s">
        <v>272</v>
      </c>
      <c r="H92" s="42">
        <v>1</v>
      </c>
      <c r="I92" s="42">
        <v>1</v>
      </c>
      <c r="J92" s="43">
        <v>242.01</v>
      </c>
      <c r="K92" s="44">
        <f t="shared" si="10"/>
        <v>242.01</v>
      </c>
      <c r="L92" s="90">
        <f t="shared" si="19"/>
        <v>242.01</v>
      </c>
      <c r="M92" s="70">
        <v>1</v>
      </c>
      <c r="N92" s="71">
        <f t="shared" si="20"/>
        <v>242.01</v>
      </c>
      <c r="O92" s="72"/>
      <c r="P92" s="73">
        <f t="shared" si="18"/>
        <v>0</v>
      </c>
      <c r="Q92" s="70">
        <f t="shared" si="12"/>
        <v>1</v>
      </c>
      <c r="R92" s="74">
        <f t="shared" si="13"/>
        <v>242.01</v>
      </c>
      <c r="S92" s="75">
        <f t="shared" si="14"/>
        <v>1</v>
      </c>
      <c r="T92" s="76">
        <f t="shared" si="15"/>
        <v>0</v>
      </c>
      <c r="U92" s="77">
        <f t="shared" si="16"/>
        <v>0</v>
      </c>
      <c r="V92" s="78">
        <f t="shared" si="17"/>
        <v>0</v>
      </c>
    </row>
    <row r="93" spans="2:22" s="5" customFormat="1" ht="16.5" customHeight="1" x14ac:dyDescent="0.35">
      <c r="B93" s="4"/>
      <c r="C93" s="38" t="s">
        <v>415</v>
      </c>
      <c r="D93" s="38" t="s">
        <v>193</v>
      </c>
      <c r="E93" s="39" t="s">
        <v>677</v>
      </c>
      <c r="F93" s="40" t="s">
        <v>678</v>
      </c>
      <c r="G93" s="41" t="s">
        <v>272</v>
      </c>
      <c r="H93" s="42">
        <v>1</v>
      </c>
      <c r="I93" s="42">
        <v>1</v>
      </c>
      <c r="J93" s="43">
        <v>3508.44</v>
      </c>
      <c r="K93" s="44">
        <f t="shared" si="10"/>
        <v>3508.44</v>
      </c>
      <c r="L93" s="90">
        <f t="shared" si="19"/>
        <v>3508.44</v>
      </c>
      <c r="M93" s="70">
        <v>1</v>
      </c>
      <c r="N93" s="71">
        <f t="shared" si="20"/>
        <v>3508.44</v>
      </c>
      <c r="O93" s="72"/>
      <c r="P93" s="73">
        <f t="shared" si="18"/>
        <v>0</v>
      </c>
      <c r="Q93" s="70">
        <f t="shared" si="12"/>
        <v>1</v>
      </c>
      <c r="R93" s="74">
        <f t="shared" si="13"/>
        <v>3508.44</v>
      </c>
      <c r="S93" s="75">
        <f t="shared" si="14"/>
        <v>1</v>
      </c>
      <c r="T93" s="76">
        <f t="shared" si="15"/>
        <v>0</v>
      </c>
      <c r="U93" s="77">
        <f t="shared" si="16"/>
        <v>0</v>
      </c>
      <c r="V93" s="78">
        <f t="shared" si="17"/>
        <v>0</v>
      </c>
    </row>
    <row r="94" spans="2:22" s="5" customFormat="1" ht="16.5" customHeight="1" x14ac:dyDescent="0.35">
      <c r="B94" s="4"/>
      <c r="C94" s="38" t="s">
        <v>418</v>
      </c>
      <c r="D94" s="38" t="s">
        <v>193</v>
      </c>
      <c r="E94" s="39" t="s">
        <v>679</v>
      </c>
      <c r="F94" s="40" t="s">
        <v>680</v>
      </c>
      <c r="G94" s="41" t="s">
        <v>272</v>
      </c>
      <c r="H94" s="42">
        <v>1</v>
      </c>
      <c r="I94" s="42">
        <v>1</v>
      </c>
      <c r="J94" s="43">
        <v>1940.07</v>
      </c>
      <c r="K94" s="44">
        <f t="shared" si="10"/>
        <v>1940.07</v>
      </c>
      <c r="L94" s="90">
        <f t="shared" si="19"/>
        <v>1940.07</v>
      </c>
      <c r="M94" s="70">
        <v>1</v>
      </c>
      <c r="N94" s="71">
        <f t="shared" si="20"/>
        <v>1940.07</v>
      </c>
      <c r="O94" s="72"/>
      <c r="P94" s="73">
        <f t="shared" si="18"/>
        <v>0</v>
      </c>
      <c r="Q94" s="70">
        <f t="shared" si="12"/>
        <v>1</v>
      </c>
      <c r="R94" s="74">
        <f t="shared" si="13"/>
        <v>1940.07</v>
      </c>
      <c r="S94" s="75">
        <f t="shared" si="14"/>
        <v>1</v>
      </c>
      <c r="T94" s="76">
        <f t="shared" si="15"/>
        <v>0</v>
      </c>
      <c r="U94" s="77">
        <f t="shared" si="16"/>
        <v>0</v>
      </c>
      <c r="V94" s="78">
        <f t="shared" si="17"/>
        <v>0</v>
      </c>
    </row>
    <row r="95" spans="2:22" s="5" customFormat="1" ht="16.5" customHeight="1" x14ac:dyDescent="0.35">
      <c r="B95" s="4"/>
      <c r="C95" s="38" t="s">
        <v>421</v>
      </c>
      <c r="D95" s="38" t="s">
        <v>193</v>
      </c>
      <c r="E95" s="39" t="s">
        <v>681</v>
      </c>
      <c r="F95" s="40" t="s">
        <v>682</v>
      </c>
      <c r="G95" s="41" t="s">
        <v>272</v>
      </c>
      <c r="H95" s="42">
        <v>12</v>
      </c>
      <c r="I95" s="42">
        <v>12</v>
      </c>
      <c r="J95" s="43">
        <v>377.05</v>
      </c>
      <c r="K95" s="44">
        <f t="shared" si="10"/>
        <v>4524.6000000000004</v>
      </c>
      <c r="L95" s="90">
        <f t="shared" si="19"/>
        <v>4524.6000000000004</v>
      </c>
      <c r="M95" s="70">
        <v>12</v>
      </c>
      <c r="N95" s="71">
        <f t="shared" si="20"/>
        <v>4524.6000000000004</v>
      </c>
      <c r="O95" s="72"/>
      <c r="P95" s="73">
        <f t="shared" si="18"/>
        <v>0</v>
      </c>
      <c r="Q95" s="70">
        <f t="shared" si="12"/>
        <v>12</v>
      </c>
      <c r="R95" s="74">
        <f t="shared" si="13"/>
        <v>4524.6000000000004</v>
      </c>
      <c r="S95" s="75">
        <f t="shared" si="14"/>
        <v>1</v>
      </c>
      <c r="T95" s="76">
        <f t="shared" si="15"/>
        <v>0</v>
      </c>
      <c r="U95" s="77">
        <f t="shared" si="16"/>
        <v>0</v>
      </c>
      <c r="V95" s="78">
        <f t="shared" si="17"/>
        <v>0</v>
      </c>
    </row>
    <row r="96" spans="2:22" s="5" customFormat="1" ht="16.5" customHeight="1" x14ac:dyDescent="0.35">
      <c r="B96" s="4"/>
      <c r="C96" s="38" t="s">
        <v>424</v>
      </c>
      <c r="D96" s="38" t="s">
        <v>193</v>
      </c>
      <c r="E96" s="39" t="s">
        <v>683</v>
      </c>
      <c r="F96" s="40" t="s">
        <v>684</v>
      </c>
      <c r="G96" s="41" t="s">
        <v>272</v>
      </c>
      <c r="H96" s="42">
        <v>10</v>
      </c>
      <c r="I96" s="42">
        <v>10</v>
      </c>
      <c r="J96" s="43">
        <v>188.53</v>
      </c>
      <c r="K96" s="44">
        <f t="shared" si="10"/>
        <v>1885.3</v>
      </c>
      <c r="L96" s="90">
        <f t="shared" si="19"/>
        <v>1885.3</v>
      </c>
      <c r="M96" s="70">
        <v>10</v>
      </c>
      <c r="N96" s="71">
        <f t="shared" si="20"/>
        <v>1885.3</v>
      </c>
      <c r="O96" s="72"/>
      <c r="P96" s="73">
        <f t="shared" si="18"/>
        <v>0</v>
      </c>
      <c r="Q96" s="70">
        <f t="shared" si="12"/>
        <v>10</v>
      </c>
      <c r="R96" s="74">
        <f t="shared" si="13"/>
        <v>1885.3</v>
      </c>
      <c r="S96" s="75">
        <f t="shared" si="14"/>
        <v>1</v>
      </c>
      <c r="T96" s="76">
        <f t="shared" si="15"/>
        <v>0</v>
      </c>
      <c r="U96" s="77">
        <f t="shared" si="16"/>
        <v>0</v>
      </c>
      <c r="V96" s="78">
        <f t="shared" si="17"/>
        <v>0</v>
      </c>
    </row>
    <row r="97" spans="2:22" s="5" customFormat="1" ht="16.5" customHeight="1" x14ac:dyDescent="0.35">
      <c r="B97" s="4"/>
      <c r="C97" s="38" t="s">
        <v>427</v>
      </c>
      <c r="D97" s="38" t="s">
        <v>193</v>
      </c>
      <c r="E97" s="39" t="s">
        <v>685</v>
      </c>
      <c r="F97" s="40" t="s">
        <v>686</v>
      </c>
      <c r="G97" s="41" t="s">
        <v>272</v>
      </c>
      <c r="H97" s="42">
        <v>6</v>
      </c>
      <c r="I97" s="42">
        <v>6</v>
      </c>
      <c r="J97" s="43">
        <v>70.86</v>
      </c>
      <c r="K97" s="44">
        <f t="shared" si="10"/>
        <v>425.16</v>
      </c>
      <c r="L97" s="90">
        <f t="shared" si="19"/>
        <v>425.15999999999997</v>
      </c>
      <c r="M97" s="70">
        <v>6</v>
      </c>
      <c r="N97" s="71">
        <f t="shared" si="20"/>
        <v>425.15999999999997</v>
      </c>
      <c r="O97" s="72"/>
      <c r="P97" s="73">
        <f t="shared" si="18"/>
        <v>0</v>
      </c>
      <c r="Q97" s="70">
        <f t="shared" si="12"/>
        <v>6</v>
      </c>
      <c r="R97" s="74">
        <f t="shared" si="13"/>
        <v>425.15999999999997</v>
      </c>
      <c r="S97" s="75">
        <f t="shared" si="14"/>
        <v>0.99999999999999989</v>
      </c>
      <c r="T97" s="76">
        <f t="shared" si="15"/>
        <v>0</v>
      </c>
      <c r="U97" s="77">
        <f t="shared" si="16"/>
        <v>0</v>
      </c>
      <c r="V97" s="78">
        <f t="shared" si="17"/>
        <v>0</v>
      </c>
    </row>
    <row r="98" spans="2:22" s="5" customFormat="1" ht="16.5" customHeight="1" x14ac:dyDescent="0.35">
      <c r="B98" s="4"/>
      <c r="C98" s="38" t="s">
        <v>430</v>
      </c>
      <c r="D98" s="38" t="s">
        <v>193</v>
      </c>
      <c r="E98" s="39" t="s">
        <v>687</v>
      </c>
      <c r="F98" s="40" t="s">
        <v>688</v>
      </c>
      <c r="G98" s="41" t="s">
        <v>272</v>
      </c>
      <c r="H98" s="42">
        <v>4</v>
      </c>
      <c r="I98" s="42">
        <v>4</v>
      </c>
      <c r="J98" s="43">
        <v>195.21</v>
      </c>
      <c r="K98" s="44">
        <f t="shared" si="10"/>
        <v>780.84</v>
      </c>
      <c r="L98" s="90">
        <f t="shared" si="19"/>
        <v>780.84</v>
      </c>
      <c r="M98" s="70">
        <v>4</v>
      </c>
      <c r="N98" s="71">
        <f t="shared" si="20"/>
        <v>780.84</v>
      </c>
      <c r="O98" s="72"/>
      <c r="P98" s="73">
        <f t="shared" si="18"/>
        <v>0</v>
      </c>
      <c r="Q98" s="70">
        <f t="shared" si="12"/>
        <v>4</v>
      </c>
      <c r="R98" s="74">
        <f t="shared" si="13"/>
        <v>780.84</v>
      </c>
      <c r="S98" s="75">
        <f t="shared" si="14"/>
        <v>1</v>
      </c>
      <c r="T98" s="76">
        <f t="shared" si="15"/>
        <v>0</v>
      </c>
      <c r="U98" s="77">
        <f t="shared" si="16"/>
        <v>0</v>
      </c>
      <c r="V98" s="78">
        <f t="shared" si="17"/>
        <v>0</v>
      </c>
    </row>
    <row r="99" spans="2:22" s="5" customFormat="1" ht="16.5" customHeight="1" x14ac:dyDescent="0.35">
      <c r="B99" s="4"/>
      <c r="C99" s="38" t="s">
        <v>431</v>
      </c>
      <c r="D99" s="38" t="s">
        <v>193</v>
      </c>
      <c r="E99" s="39" t="s">
        <v>689</v>
      </c>
      <c r="F99" s="40" t="s">
        <v>690</v>
      </c>
      <c r="G99" s="41" t="s">
        <v>272</v>
      </c>
      <c r="H99" s="42">
        <v>2</v>
      </c>
      <c r="I99" s="42">
        <v>2</v>
      </c>
      <c r="J99" s="43">
        <v>201.9</v>
      </c>
      <c r="K99" s="44">
        <f t="shared" si="10"/>
        <v>403.8</v>
      </c>
      <c r="L99" s="90">
        <f t="shared" si="19"/>
        <v>403.8</v>
      </c>
      <c r="M99" s="70">
        <v>2</v>
      </c>
      <c r="N99" s="71">
        <f t="shared" si="20"/>
        <v>403.8</v>
      </c>
      <c r="O99" s="72"/>
      <c r="P99" s="73">
        <f t="shared" si="18"/>
        <v>0</v>
      </c>
      <c r="Q99" s="70">
        <f t="shared" si="12"/>
        <v>2</v>
      </c>
      <c r="R99" s="74">
        <f t="shared" si="13"/>
        <v>403.8</v>
      </c>
      <c r="S99" s="75">
        <f t="shared" si="14"/>
        <v>1</v>
      </c>
      <c r="T99" s="76">
        <f t="shared" si="15"/>
        <v>0</v>
      </c>
      <c r="U99" s="77">
        <f t="shared" si="16"/>
        <v>0</v>
      </c>
      <c r="V99" s="78">
        <f t="shared" si="17"/>
        <v>0</v>
      </c>
    </row>
    <row r="100" spans="2:22" s="5" customFormat="1" ht="16.5" customHeight="1" x14ac:dyDescent="0.35">
      <c r="B100" s="4"/>
      <c r="C100" s="38" t="s">
        <v>434</v>
      </c>
      <c r="D100" s="38" t="s">
        <v>193</v>
      </c>
      <c r="E100" s="39" t="s">
        <v>691</v>
      </c>
      <c r="F100" s="40" t="s">
        <v>692</v>
      </c>
      <c r="G100" s="41" t="s">
        <v>272</v>
      </c>
      <c r="H100" s="42">
        <v>6</v>
      </c>
      <c r="I100" s="42">
        <v>6</v>
      </c>
      <c r="J100" s="43">
        <v>161.78</v>
      </c>
      <c r="K100" s="44">
        <f t="shared" si="10"/>
        <v>970.68</v>
      </c>
      <c r="L100" s="90">
        <f t="shared" si="19"/>
        <v>970.68000000000006</v>
      </c>
      <c r="M100" s="70">
        <v>6</v>
      </c>
      <c r="N100" s="71">
        <f t="shared" si="20"/>
        <v>970.68000000000006</v>
      </c>
      <c r="O100" s="72"/>
      <c r="P100" s="73">
        <f t="shared" si="18"/>
        <v>0</v>
      </c>
      <c r="Q100" s="70">
        <f t="shared" si="12"/>
        <v>6</v>
      </c>
      <c r="R100" s="74">
        <f t="shared" si="13"/>
        <v>970.68000000000006</v>
      </c>
      <c r="S100" s="75">
        <f t="shared" si="14"/>
        <v>1.0000000000000002</v>
      </c>
      <c r="T100" s="76">
        <f t="shared" si="15"/>
        <v>0</v>
      </c>
      <c r="U100" s="77">
        <f t="shared" si="16"/>
        <v>0</v>
      </c>
      <c r="V100" s="78">
        <f t="shared" si="17"/>
        <v>0</v>
      </c>
    </row>
    <row r="101" spans="2:22" s="5" customFormat="1" ht="16.5" customHeight="1" x14ac:dyDescent="0.35">
      <c r="B101" s="4"/>
      <c r="C101" s="38" t="s">
        <v>437</v>
      </c>
      <c r="D101" s="38" t="s">
        <v>193</v>
      </c>
      <c r="E101" s="39" t="s">
        <v>693</v>
      </c>
      <c r="F101" s="40" t="s">
        <v>694</v>
      </c>
      <c r="G101" s="41" t="s">
        <v>272</v>
      </c>
      <c r="H101" s="42">
        <v>10</v>
      </c>
      <c r="I101" s="42">
        <v>10</v>
      </c>
      <c r="J101" s="43">
        <v>88.25</v>
      </c>
      <c r="K101" s="44">
        <f t="shared" si="10"/>
        <v>882.5</v>
      </c>
      <c r="L101" s="90">
        <f t="shared" si="19"/>
        <v>882.5</v>
      </c>
      <c r="M101" s="70">
        <v>10</v>
      </c>
      <c r="N101" s="71">
        <f t="shared" si="20"/>
        <v>882.5</v>
      </c>
      <c r="O101" s="72"/>
      <c r="P101" s="73">
        <f t="shared" si="18"/>
        <v>0</v>
      </c>
      <c r="Q101" s="70">
        <f t="shared" si="12"/>
        <v>10</v>
      </c>
      <c r="R101" s="74">
        <f t="shared" si="13"/>
        <v>882.5</v>
      </c>
      <c r="S101" s="75">
        <f t="shared" si="14"/>
        <v>1</v>
      </c>
      <c r="T101" s="76">
        <f t="shared" si="15"/>
        <v>0</v>
      </c>
      <c r="U101" s="77">
        <f t="shared" si="16"/>
        <v>0</v>
      </c>
      <c r="V101" s="78">
        <f t="shared" si="17"/>
        <v>0</v>
      </c>
    </row>
    <row r="102" spans="2:22" s="5" customFormat="1" ht="16.5" customHeight="1" x14ac:dyDescent="0.35">
      <c r="B102" s="4"/>
      <c r="C102" s="38" t="s">
        <v>440</v>
      </c>
      <c r="D102" s="38" t="s">
        <v>193</v>
      </c>
      <c r="E102" s="39" t="s">
        <v>695</v>
      </c>
      <c r="F102" s="40" t="s">
        <v>696</v>
      </c>
      <c r="G102" s="41" t="s">
        <v>272</v>
      </c>
      <c r="H102" s="42">
        <v>6</v>
      </c>
      <c r="I102" s="42">
        <v>6</v>
      </c>
      <c r="J102" s="43">
        <v>66.849999999999994</v>
      </c>
      <c r="K102" s="44">
        <f t="shared" ref="K102:K111" si="21">ROUND(J102*H102,2)</f>
        <v>401.1</v>
      </c>
      <c r="L102" s="90">
        <f t="shared" si="19"/>
        <v>401.09999999999997</v>
      </c>
      <c r="M102" s="70">
        <v>6</v>
      </c>
      <c r="N102" s="71">
        <f t="shared" si="20"/>
        <v>401.09999999999997</v>
      </c>
      <c r="O102" s="72"/>
      <c r="P102" s="73">
        <f t="shared" si="18"/>
        <v>0</v>
      </c>
      <c r="Q102" s="70">
        <f t="shared" ref="Q102:Q111" si="22">O102+M102</f>
        <v>6</v>
      </c>
      <c r="R102" s="74">
        <f t="shared" ref="R102:R111" si="23">Q102*J102</f>
        <v>401.09999999999997</v>
      </c>
      <c r="S102" s="75">
        <f t="shared" ref="S102:S111" si="24">R102/K102</f>
        <v>0.99999999999999989</v>
      </c>
      <c r="T102" s="76">
        <f t="shared" ref="T102:T111" si="25">H102-Q102</f>
        <v>0</v>
      </c>
      <c r="U102" s="77">
        <f t="shared" ref="U102:U111" si="26">T102*J102</f>
        <v>0</v>
      </c>
      <c r="V102" s="78">
        <f t="shared" ref="V102:V111" si="27">T102/H102</f>
        <v>0</v>
      </c>
    </row>
    <row r="103" spans="2:22" s="5" customFormat="1" ht="16.5" customHeight="1" x14ac:dyDescent="0.35">
      <c r="B103" s="4"/>
      <c r="C103" s="38" t="s">
        <v>443</v>
      </c>
      <c r="D103" s="38" t="s">
        <v>193</v>
      </c>
      <c r="E103" s="39" t="s">
        <v>697</v>
      </c>
      <c r="F103" s="40" t="s">
        <v>698</v>
      </c>
      <c r="G103" s="41" t="s">
        <v>272</v>
      </c>
      <c r="H103" s="42">
        <v>1</v>
      </c>
      <c r="I103" s="42">
        <v>1</v>
      </c>
      <c r="J103" s="43">
        <v>274.10000000000002</v>
      </c>
      <c r="K103" s="44">
        <f t="shared" si="21"/>
        <v>274.10000000000002</v>
      </c>
      <c r="L103" s="90">
        <f t="shared" si="19"/>
        <v>274.10000000000002</v>
      </c>
      <c r="M103" s="70">
        <v>1</v>
      </c>
      <c r="N103" s="71">
        <f t="shared" si="20"/>
        <v>274.10000000000002</v>
      </c>
      <c r="O103" s="72"/>
      <c r="P103" s="73">
        <f t="shared" si="18"/>
        <v>0</v>
      </c>
      <c r="Q103" s="70">
        <f t="shared" si="22"/>
        <v>1</v>
      </c>
      <c r="R103" s="74">
        <f t="shared" si="23"/>
        <v>274.10000000000002</v>
      </c>
      <c r="S103" s="75">
        <f t="shared" si="24"/>
        <v>1</v>
      </c>
      <c r="T103" s="76">
        <f t="shared" si="25"/>
        <v>0</v>
      </c>
      <c r="U103" s="77">
        <f t="shared" si="26"/>
        <v>0</v>
      </c>
      <c r="V103" s="78">
        <f t="shared" si="27"/>
        <v>0</v>
      </c>
    </row>
    <row r="104" spans="2:22" s="5" customFormat="1" ht="16.5" customHeight="1" x14ac:dyDescent="0.35">
      <c r="B104" s="4"/>
      <c r="C104" s="38" t="s">
        <v>446</v>
      </c>
      <c r="D104" s="38" t="s">
        <v>193</v>
      </c>
      <c r="E104" s="39" t="s">
        <v>699</v>
      </c>
      <c r="F104" s="40" t="s">
        <v>700</v>
      </c>
      <c r="G104" s="41" t="s">
        <v>272</v>
      </c>
      <c r="H104" s="42">
        <v>1</v>
      </c>
      <c r="I104" s="42">
        <v>1</v>
      </c>
      <c r="J104" s="43">
        <v>119</v>
      </c>
      <c r="K104" s="44">
        <f t="shared" si="21"/>
        <v>119</v>
      </c>
      <c r="L104" s="90">
        <f t="shared" si="19"/>
        <v>119</v>
      </c>
      <c r="M104" s="70">
        <v>1</v>
      </c>
      <c r="N104" s="71">
        <f t="shared" si="20"/>
        <v>119</v>
      </c>
      <c r="O104" s="72"/>
      <c r="P104" s="73">
        <f t="shared" si="18"/>
        <v>0</v>
      </c>
      <c r="Q104" s="70">
        <f t="shared" si="22"/>
        <v>1</v>
      </c>
      <c r="R104" s="74">
        <f t="shared" si="23"/>
        <v>119</v>
      </c>
      <c r="S104" s="75">
        <f t="shared" si="24"/>
        <v>1</v>
      </c>
      <c r="T104" s="76">
        <f t="shared" si="25"/>
        <v>0</v>
      </c>
      <c r="U104" s="77">
        <f t="shared" si="26"/>
        <v>0</v>
      </c>
      <c r="V104" s="78">
        <f t="shared" si="27"/>
        <v>0</v>
      </c>
    </row>
    <row r="105" spans="2:22" s="5" customFormat="1" ht="21.75" customHeight="1" x14ac:dyDescent="0.35">
      <c r="B105" s="4"/>
      <c r="C105" s="38" t="s">
        <v>447</v>
      </c>
      <c r="D105" s="38" t="s">
        <v>193</v>
      </c>
      <c r="E105" s="39" t="s">
        <v>701</v>
      </c>
      <c r="F105" s="40" t="s">
        <v>702</v>
      </c>
      <c r="G105" s="41" t="s">
        <v>272</v>
      </c>
      <c r="H105" s="42">
        <v>1</v>
      </c>
      <c r="I105" s="42">
        <v>1</v>
      </c>
      <c r="J105" s="43">
        <v>93.59</v>
      </c>
      <c r="K105" s="44">
        <f t="shared" si="21"/>
        <v>93.59</v>
      </c>
      <c r="L105" s="90">
        <f t="shared" si="19"/>
        <v>93.59</v>
      </c>
      <c r="M105" s="70">
        <v>1</v>
      </c>
      <c r="N105" s="71">
        <f t="shared" si="20"/>
        <v>93.59</v>
      </c>
      <c r="O105" s="72"/>
      <c r="P105" s="73">
        <f t="shared" si="18"/>
        <v>0</v>
      </c>
      <c r="Q105" s="70">
        <f t="shared" si="22"/>
        <v>1</v>
      </c>
      <c r="R105" s="74">
        <f t="shared" si="23"/>
        <v>93.59</v>
      </c>
      <c r="S105" s="75">
        <f t="shared" si="24"/>
        <v>1</v>
      </c>
      <c r="T105" s="76">
        <f t="shared" si="25"/>
        <v>0</v>
      </c>
      <c r="U105" s="77">
        <f t="shared" si="26"/>
        <v>0</v>
      </c>
      <c r="V105" s="78">
        <f t="shared" si="27"/>
        <v>0</v>
      </c>
    </row>
    <row r="106" spans="2:22" s="5" customFormat="1" ht="21.75" customHeight="1" x14ac:dyDescent="0.35">
      <c r="B106" s="4"/>
      <c r="C106" s="38" t="s">
        <v>448</v>
      </c>
      <c r="D106" s="38" t="s">
        <v>193</v>
      </c>
      <c r="E106" s="39" t="s">
        <v>703</v>
      </c>
      <c r="F106" s="40" t="s">
        <v>704</v>
      </c>
      <c r="G106" s="41" t="s">
        <v>272</v>
      </c>
      <c r="H106" s="42">
        <v>4</v>
      </c>
      <c r="I106" s="42">
        <v>4</v>
      </c>
      <c r="J106" s="43">
        <v>93.59</v>
      </c>
      <c r="K106" s="44">
        <f t="shared" si="21"/>
        <v>374.36</v>
      </c>
      <c r="L106" s="90">
        <f t="shared" si="19"/>
        <v>374.36</v>
      </c>
      <c r="M106" s="70">
        <v>4</v>
      </c>
      <c r="N106" s="71">
        <f t="shared" si="20"/>
        <v>374.36</v>
      </c>
      <c r="O106" s="72"/>
      <c r="P106" s="73">
        <f t="shared" si="18"/>
        <v>0</v>
      </c>
      <c r="Q106" s="70">
        <f t="shared" si="22"/>
        <v>4</v>
      </c>
      <c r="R106" s="74">
        <f t="shared" si="23"/>
        <v>374.36</v>
      </c>
      <c r="S106" s="75">
        <f t="shared" si="24"/>
        <v>1</v>
      </c>
      <c r="T106" s="76">
        <f t="shared" si="25"/>
        <v>0</v>
      </c>
      <c r="U106" s="77">
        <f t="shared" si="26"/>
        <v>0</v>
      </c>
      <c r="V106" s="78">
        <f t="shared" si="27"/>
        <v>0</v>
      </c>
    </row>
    <row r="107" spans="2:22" s="5" customFormat="1" ht="16.5" customHeight="1" x14ac:dyDescent="0.35">
      <c r="B107" s="4"/>
      <c r="C107" s="38" t="s">
        <v>449</v>
      </c>
      <c r="D107" s="38" t="s">
        <v>193</v>
      </c>
      <c r="E107" s="39" t="s">
        <v>705</v>
      </c>
      <c r="F107" s="40" t="s">
        <v>706</v>
      </c>
      <c r="G107" s="41" t="s">
        <v>272</v>
      </c>
      <c r="H107" s="42">
        <v>3</v>
      </c>
      <c r="I107" s="42">
        <v>3</v>
      </c>
      <c r="J107" s="43">
        <v>57.49</v>
      </c>
      <c r="K107" s="44">
        <f t="shared" si="21"/>
        <v>172.47</v>
      </c>
      <c r="L107" s="90">
        <f t="shared" si="19"/>
        <v>172.47</v>
      </c>
      <c r="M107" s="70">
        <v>3</v>
      </c>
      <c r="N107" s="71">
        <f t="shared" si="20"/>
        <v>172.47</v>
      </c>
      <c r="O107" s="72"/>
      <c r="P107" s="73">
        <f t="shared" si="18"/>
        <v>0</v>
      </c>
      <c r="Q107" s="70">
        <f t="shared" si="22"/>
        <v>3</v>
      </c>
      <c r="R107" s="74">
        <f t="shared" si="23"/>
        <v>172.47</v>
      </c>
      <c r="S107" s="75">
        <f t="shared" si="24"/>
        <v>1</v>
      </c>
      <c r="T107" s="76">
        <f t="shared" si="25"/>
        <v>0</v>
      </c>
      <c r="U107" s="77">
        <f t="shared" si="26"/>
        <v>0</v>
      </c>
      <c r="V107" s="78">
        <f t="shared" si="27"/>
        <v>0</v>
      </c>
    </row>
    <row r="108" spans="2:22" s="5" customFormat="1" ht="16.5" customHeight="1" x14ac:dyDescent="0.35">
      <c r="B108" s="4"/>
      <c r="C108" s="38" t="s">
        <v>450</v>
      </c>
      <c r="D108" s="38" t="s">
        <v>193</v>
      </c>
      <c r="E108" s="39" t="s">
        <v>707</v>
      </c>
      <c r="F108" s="40" t="s">
        <v>708</v>
      </c>
      <c r="G108" s="41" t="s">
        <v>709</v>
      </c>
      <c r="H108" s="42">
        <v>2</v>
      </c>
      <c r="I108" s="42">
        <v>2</v>
      </c>
      <c r="J108" s="43">
        <v>471.98</v>
      </c>
      <c r="K108" s="44">
        <f t="shared" si="21"/>
        <v>943.96</v>
      </c>
      <c r="L108" s="90">
        <f t="shared" si="19"/>
        <v>943.96</v>
      </c>
      <c r="M108" s="70">
        <v>2</v>
      </c>
      <c r="N108" s="71">
        <f t="shared" si="20"/>
        <v>943.96</v>
      </c>
      <c r="O108" s="72"/>
      <c r="P108" s="73">
        <f t="shared" si="18"/>
        <v>0</v>
      </c>
      <c r="Q108" s="70">
        <f t="shared" si="22"/>
        <v>2</v>
      </c>
      <c r="R108" s="74">
        <f t="shared" si="23"/>
        <v>943.96</v>
      </c>
      <c r="S108" s="75">
        <f t="shared" si="24"/>
        <v>1</v>
      </c>
      <c r="T108" s="76">
        <f t="shared" si="25"/>
        <v>0</v>
      </c>
      <c r="U108" s="77">
        <f t="shared" si="26"/>
        <v>0</v>
      </c>
      <c r="V108" s="78">
        <f t="shared" si="27"/>
        <v>0</v>
      </c>
    </row>
    <row r="109" spans="2:22" s="5" customFormat="1" ht="16.5" customHeight="1" x14ac:dyDescent="0.35">
      <c r="B109" s="4"/>
      <c r="C109" s="38" t="s">
        <v>451</v>
      </c>
      <c r="D109" s="38" t="s">
        <v>193</v>
      </c>
      <c r="E109" s="39" t="s">
        <v>710</v>
      </c>
      <c r="F109" s="40" t="s">
        <v>711</v>
      </c>
      <c r="G109" s="41" t="s">
        <v>272</v>
      </c>
      <c r="H109" s="42">
        <v>15</v>
      </c>
      <c r="I109" s="42">
        <v>15</v>
      </c>
      <c r="J109" s="43">
        <v>24.07</v>
      </c>
      <c r="K109" s="44">
        <f t="shared" si="21"/>
        <v>361.05</v>
      </c>
      <c r="L109" s="90">
        <f t="shared" si="19"/>
        <v>361.05</v>
      </c>
      <c r="M109" s="70">
        <v>15</v>
      </c>
      <c r="N109" s="71">
        <f t="shared" si="20"/>
        <v>361.05</v>
      </c>
      <c r="O109" s="72"/>
      <c r="P109" s="73">
        <f t="shared" si="18"/>
        <v>0</v>
      </c>
      <c r="Q109" s="70">
        <f t="shared" si="22"/>
        <v>15</v>
      </c>
      <c r="R109" s="74">
        <f t="shared" si="23"/>
        <v>361.05</v>
      </c>
      <c r="S109" s="75">
        <f t="shared" si="24"/>
        <v>1</v>
      </c>
      <c r="T109" s="76">
        <f t="shared" si="25"/>
        <v>0</v>
      </c>
      <c r="U109" s="77">
        <f t="shared" si="26"/>
        <v>0</v>
      </c>
      <c r="V109" s="78">
        <f t="shared" si="27"/>
        <v>0</v>
      </c>
    </row>
    <row r="110" spans="2:22" s="5" customFormat="1" ht="16.5" customHeight="1" x14ac:dyDescent="0.35">
      <c r="B110" s="4"/>
      <c r="C110" s="38" t="s">
        <v>452</v>
      </c>
      <c r="D110" s="38" t="s">
        <v>193</v>
      </c>
      <c r="E110" s="39" t="s">
        <v>712</v>
      </c>
      <c r="F110" s="40" t="s">
        <v>713</v>
      </c>
      <c r="G110" s="41" t="s">
        <v>709</v>
      </c>
      <c r="H110" s="42">
        <v>2</v>
      </c>
      <c r="I110" s="42">
        <v>2</v>
      </c>
      <c r="J110" s="43">
        <v>786.19</v>
      </c>
      <c r="K110" s="44">
        <f t="shared" si="21"/>
        <v>1572.38</v>
      </c>
      <c r="L110" s="90">
        <f t="shared" si="19"/>
        <v>1572.38</v>
      </c>
      <c r="M110" s="70">
        <v>2</v>
      </c>
      <c r="N110" s="71">
        <f t="shared" si="20"/>
        <v>1572.38</v>
      </c>
      <c r="O110" s="72"/>
      <c r="P110" s="73">
        <f t="shared" si="18"/>
        <v>0</v>
      </c>
      <c r="Q110" s="70">
        <f t="shared" si="22"/>
        <v>2</v>
      </c>
      <c r="R110" s="74">
        <f t="shared" si="23"/>
        <v>1572.38</v>
      </c>
      <c r="S110" s="75">
        <f t="shared" si="24"/>
        <v>1</v>
      </c>
      <c r="T110" s="76">
        <f t="shared" si="25"/>
        <v>0</v>
      </c>
      <c r="U110" s="77">
        <f t="shared" si="26"/>
        <v>0</v>
      </c>
      <c r="V110" s="78">
        <f t="shared" si="27"/>
        <v>0</v>
      </c>
    </row>
    <row r="111" spans="2:22" s="5" customFormat="1" ht="16.5" customHeight="1" x14ac:dyDescent="0.35">
      <c r="B111" s="4"/>
      <c r="C111" s="38" t="s">
        <v>455</v>
      </c>
      <c r="D111" s="38" t="s">
        <v>193</v>
      </c>
      <c r="E111" s="39" t="s">
        <v>714</v>
      </c>
      <c r="F111" s="40" t="s">
        <v>715</v>
      </c>
      <c r="G111" s="41" t="s">
        <v>323</v>
      </c>
      <c r="H111" s="42">
        <v>20</v>
      </c>
      <c r="I111" s="42">
        <v>20</v>
      </c>
      <c r="J111" s="43">
        <v>401.12</v>
      </c>
      <c r="K111" s="44">
        <f t="shared" si="21"/>
        <v>8022.4</v>
      </c>
      <c r="L111" s="90">
        <f t="shared" si="19"/>
        <v>8022.4</v>
      </c>
      <c r="M111" s="70">
        <v>20</v>
      </c>
      <c r="N111" s="71">
        <f t="shared" si="20"/>
        <v>8022.4</v>
      </c>
      <c r="O111" s="72"/>
      <c r="P111" s="73">
        <f t="shared" si="18"/>
        <v>0</v>
      </c>
      <c r="Q111" s="70">
        <f t="shared" si="22"/>
        <v>20</v>
      </c>
      <c r="R111" s="74">
        <f t="shared" si="23"/>
        <v>8022.4</v>
      </c>
      <c r="S111" s="75">
        <f t="shared" si="24"/>
        <v>1</v>
      </c>
      <c r="T111" s="76">
        <f t="shared" si="25"/>
        <v>0</v>
      </c>
      <c r="U111" s="77">
        <f t="shared" si="26"/>
        <v>0</v>
      </c>
      <c r="V111" s="78">
        <f t="shared" si="27"/>
        <v>0</v>
      </c>
    </row>
    <row r="112" spans="2:22" s="5" customFormat="1" ht="6.9" customHeight="1" x14ac:dyDescent="0.35"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52"/>
    </row>
    <row r="113" spans="2:22" s="23" customFormat="1" ht="15.5" x14ac:dyDescent="0.35">
      <c r="B113" s="22"/>
      <c r="D113" s="24"/>
      <c r="E113" s="25"/>
      <c r="F113" s="25" t="s">
        <v>1080</v>
      </c>
      <c r="J113" s="26"/>
      <c r="K113" s="27">
        <f>SUM(K114:K126)</f>
        <v>0</v>
      </c>
      <c r="L113" s="27">
        <f>SUM(L114:L126)</f>
        <v>138879.23739999998</v>
      </c>
      <c r="N113" s="27"/>
      <c r="P113" s="27"/>
      <c r="R113" s="27"/>
      <c r="U113" s="27"/>
    </row>
    <row r="114" spans="2:22" s="5" customFormat="1" ht="23" x14ac:dyDescent="0.35">
      <c r="B114" s="4"/>
      <c r="C114" s="28"/>
      <c r="D114" s="28"/>
      <c r="E114" s="29" t="s">
        <v>1087</v>
      </c>
      <c r="F114" s="30" t="s">
        <v>1088</v>
      </c>
      <c r="G114" s="31" t="s">
        <v>214</v>
      </c>
      <c r="H114" s="32"/>
      <c r="I114" s="32">
        <v>2.4414099999999999</v>
      </c>
      <c r="J114" s="33">
        <v>4140</v>
      </c>
      <c r="K114" s="44">
        <f t="shared" ref="K114:K120" si="28">ROUND(J114*H114,2)</f>
        <v>0</v>
      </c>
      <c r="L114" s="90">
        <f t="shared" ref="L114:L120" si="29">I114*J114</f>
        <v>10107.437399999999</v>
      </c>
      <c r="M114" s="70"/>
      <c r="N114" s="71"/>
      <c r="O114" s="72"/>
      <c r="P114" s="73"/>
      <c r="Q114" s="70"/>
      <c r="R114" s="74"/>
      <c r="S114" s="75"/>
      <c r="T114" s="76"/>
      <c r="U114" s="77"/>
      <c r="V114" s="78"/>
    </row>
    <row r="115" spans="2:22" s="5" customFormat="1" ht="23" x14ac:dyDescent="0.35">
      <c r="B115" s="4"/>
      <c r="C115" s="28"/>
      <c r="D115" s="28"/>
      <c r="E115" s="29" t="s">
        <v>1089</v>
      </c>
      <c r="F115" s="30" t="s">
        <v>1090</v>
      </c>
      <c r="G115" s="31" t="s">
        <v>223</v>
      </c>
      <c r="H115" s="32"/>
      <c r="I115" s="32">
        <v>0.16900000000000001</v>
      </c>
      <c r="J115" s="33">
        <v>45000</v>
      </c>
      <c r="K115" s="44">
        <f t="shared" si="28"/>
        <v>0</v>
      </c>
      <c r="L115" s="90">
        <f t="shared" si="29"/>
        <v>7605.0000000000009</v>
      </c>
      <c r="M115" s="70"/>
      <c r="N115" s="71"/>
      <c r="O115" s="72"/>
      <c r="P115" s="73"/>
      <c r="Q115" s="70"/>
      <c r="R115" s="74"/>
      <c r="S115" s="75"/>
      <c r="T115" s="76"/>
      <c r="U115" s="77"/>
      <c r="V115" s="78"/>
    </row>
    <row r="116" spans="2:22" s="5" customFormat="1" ht="16.5" customHeight="1" x14ac:dyDescent="0.35">
      <c r="B116" s="4"/>
      <c r="C116" s="28"/>
      <c r="D116" s="28"/>
      <c r="E116" s="29">
        <v>631571005</v>
      </c>
      <c r="F116" s="30" t="s">
        <v>1135</v>
      </c>
      <c r="G116" s="31" t="s">
        <v>214</v>
      </c>
      <c r="H116" s="32"/>
      <c r="I116" s="32">
        <v>1.5</v>
      </c>
      <c r="J116" s="33">
        <v>14560</v>
      </c>
      <c r="K116" s="44">
        <f t="shared" si="28"/>
        <v>0</v>
      </c>
      <c r="L116" s="90">
        <f t="shared" si="29"/>
        <v>21840</v>
      </c>
      <c r="M116" s="70"/>
      <c r="N116" s="71"/>
      <c r="O116" s="72"/>
      <c r="P116" s="73"/>
      <c r="Q116" s="70"/>
      <c r="R116" s="74"/>
      <c r="S116" s="75"/>
      <c r="T116" s="76"/>
      <c r="U116" s="77"/>
      <c r="V116" s="78"/>
    </row>
    <row r="117" spans="2:22" s="5" customFormat="1" ht="16.5" customHeight="1" x14ac:dyDescent="0.35">
      <c r="B117" s="4"/>
      <c r="C117" s="28"/>
      <c r="D117" s="28"/>
      <c r="E117" s="29" t="s">
        <v>1136</v>
      </c>
      <c r="F117" s="30" t="s">
        <v>1137</v>
      </c>
      <c r="G117" s="31" t="s">
        <v>207</v>
      </c>
      <c r="H117" s="32"/>
      <c r="I117" s="32">
        <v>9.7650000000000006</v>
      </c>
      <c r="J117" s="33">
        <v>1120</v>
      </c>
      <c r="K117" s="44">
        <f t="shared" si="28"/>
        <v>0</v>
      </c>
      <c r="L117" s="90">
        <f t="shared" si="29"/>
        <v>10936.800000000001</v>
      </c>
      <c r="M117" s="70"/>
      <c r="N117" s="71"/>
      <c r="O117" s="72"/>
      <c r="P117" s="73"/>
      <c r="Q117" s="70"/>
      <c r="R117" s="74"/>
      <c r="S117" s="75"/>
      <c r="T117" s="76"/>
      <c r="U117" s="77"/>
      <c r="V117" s="78"/>
    </row>
    <row r="118" spans="2:22" s="5" customFormat="1" ht="16.5" customHeight="1" x14ac:dyDescent="0.35">
      <c r="B118" s="4"/>
      <c r="C118" s="28"/>
      <c r="D118" s="28"/>
      <c r="E118" s="29"/>
      <c r="F118" s="30" t="s">
        <v>1138</v>
      </c>
      <c r="G118" s="31" t="s">
        <v>323</v>
      </c>
      <c r="H118" s="32"/>
      <c r="I118" s="32">
        <v>50</v>
      </c>
      <c r="J118" s="33">
        <v>890</v>
      </c>
      <c r="K118" s="44">
        <f t="shared" si="28"/>
        <v>0</v>
      </c>
      <c r="L118" s="90">
        <f t="shared" si="29"/>
        <v>44500</v>
      </c>
      <c r="M118" s="70"/>
      <c r="N118" s="71"/>
      <c r="O118" s="72"/>
      <c r="P118" s="73"/>
      <c r="Q118" s="70"/>
      <c r="R118" s="74"/>
      <c r="S118" s="75"/>
      <c r="T118" s="76"/>
      <c r="U118" s="77"/>
      <c r="V118" s="78"/>
    </row>
    <row r="119" spans="2:22" s="23" customFormat="1" ht="15.5" x14ac:dyDescent="0.35">
      <c r="B119" s="22"/>
      <c r="D119" s="24"/>
      <c r="E119" s="25">
        <v>767</v>
      </c>
      <c r="F119" s="25" t="s">
        <v>1139</v>
      </c>
      <c r="J119" s="26"/>
      <c r="K119" s="27"/>
      <c r="L119" s="27"/>
      <c r="N119" s="27"/>
      <c r="P119" s="27"/>
      <c r="R119" s="27"/>
      <c r="U119" s="27"/>
    </row>
    <row r="120" spans="2:22" s="5" customFormat="1" ht="16.5" customHeight="1" x14ac:dyDescent="0.35">
      <c r="B120" s="143"/>
      <c r="C120" s="144"/>
      <c r="D120" s="144"/>
      <c r="E120" s="145"/>
      <c r="F120" s="146" t="s">
        <v>1140</v>
      </c>
      <c r="G120" s="147" t="s">
        <v>120</v>
      </c>
      <c r="H120" s="148"/>
      <c r="I120" s="148">
        <v>9.5</v>
      </c>
      <c r="J120" s="149">
        <v>4620</v>
      </c>
      <c r="K120" s="150">
        <f t="shared" si="28"/>
        <v>0</v>
      </c>
      <c r="L120" s="151">
        <f t="shared" si="29"/>
        <v>43890</v>
      </c>
      <c r="M120" s="70"/>
      <c r="N120" s="71"/>
      <c r="O120" s="72"/>
      <c r="P120" s="73"/>
      <c r="Q120" s="70"/>
      <c r="R120" s="74"/>
      <c r="S120" s="75"/>
      <c r="T120" s="76"/>
      <c r="U120" s="77"/>
      <c r="V120" s="78"/>
    </row>
  </sheetData>
  <mergeCells count="7">
    <mergeCell ref="T16:V16"/>
    <mergeCell ref="E10:H10"/>
    <mergeCell ref="E6:H6"/>
    <mergeCell ref="E8:H8"/>
    <mergeCell ref="M16:N16"/>
    <mergeCell ref="O16:P16"/>
    <mergeCell ref="Q16:S16"/>
  </mergeCells>
  <pageMargins left="0.70866141732283472" right="0.70866141732283472" top="0.78740157480314965" bottom="0.78740157480314965" header="0.31496062992125984" footer="0.31496062992125984"/>
  <pageSetup paperSize="9" scale="5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29CC-30AD-4EC1-A227-F091062F301F}">
  <sheetPr>
    <pageSetUpPr fitToPage="1"/>
  </sheetPr>
  <dimension ref="B2:W168"/>
  <sheetViews>
    <sheetView view="pageBreakPreview" topLeftCell="A93" zoomScale="85" zoomScaleNormal="100" zoomScaleSheetLayoutView="85" workbookViewId="0">
      <selection activeCell="I20" sqref="I20:I167"/>
    </sheetView>
  </sheetViews>
  <sheetFormatPr defaultRowHeight="14.5" x14ac:dyDescent="0.35"/>
  <cols>
    <col min="1" max="1" width="6.81640625" customWidth="1"/>
    <col min="2" max="2" width="0.90625" customWidth="1"/>
    <col min="3" max="3" width="3.36328125" customWidth="1"/>
    <col min="4" max="4" width="3.54296875" customWidth="1"/>
    <col min="5" max="5" width="14" customWidth="1"/>
    <col min="6" max="6" width="41.6328125" customWidth="1"/>
    <col min="7" max="7" width="6.08984375" customWidth="1"/>
    <col min="8" max="9" width="11.453125" customWidth="1"/>
    <col min="10" max="10" width="13" customWidth="1"/>
    <col min="11" max="13" width="18.26953125" customWidth="1"/>
    <col min="15" max="15" width="12.7265625" customWidth="1"/>
    <col min="17" max="17" width="14.36328125" customWidth="1"/>
    <col min="19" max="19" width="13.36328125" customWidth="1"/>
    <col min="22" max="22" width="14.1796875" customWidth="1"/>
  </cols>
  <sheetData>
    <row r="2" spans="2:23" s="5" customFormat="1" ht="6.9" customHeight="1" x14ac:dyDescent="0.35"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2:23" s="5" customFormat="1" ht="24.9" customHeight="1" x14ac:dyDescent="0.35">
      <c r="B3" s="4"/>
      <c r="C3" s="2" t="s">
        <v>18</v>
      </c>
    </row>
    <row r="4" spans="2:23" s="5" customFormat="1" ht="6.9" customHeight="1" x14ac:dyDescent="0.35">
      <c r="B4" s="4"/>
    </row>
    <row r="5" spans="2:23" s="5" customFormat="1" ht="12" customHeight="1" x14ac:dyDescent="0.35">
      <c r="B5" s="4"/>
      <c r="C5" s="3" t="s">
        <v>1</v>
      </c>
    </row>
    <row r="6" spans="2:23" s="5" customFormat="1" ht="16.5" customHeight="1" x14ac:dyDescent="0.35">
      <c r="B6" s="4"/>
      <c r="E6" s="177" t="s">
        <v>1034</v>
      </c>
      <c r="F6" s="178"/>
      <c r="G6" s="178"/>
      <c r="H6" s="178"/>
      <c r="I6" s="3"/>
    </row>
    <row r="7" spans="2:23" ht="12" customHeight="1" x14ac:dyDescent="0.35">
      <c r="B7" s="1"/>
      <c r="C7" s="3" t="s">
        <v>2</v>
      </c>
    </row>
    <row r="8" spans="2:23" s="5" customFormat="1" ht="16.5" customHeight="1" x14ac:dyDescent="0.35">
      <c r="B8" s="4"/>
      <c r="E8" s="177" t="s">
        <v>263</v>
      </c>
      <c r="F8" s="183"/>
      <c r="G8" s="183"/>
      <c r="H8" s="183"/>
    </row>
    <row r="9" spans="2:23" s="5" customFormat="1" ht="12" customHeight="1" x14ac:dyDescent="0.35">
      <c r="B9" s="4"/>
      <c r="C9" s="3" t="s">
        <v>4</v>
      </c>
    </row>
    <row r="10" spans="2:23" s="5" customFormat="1" ht="16.5" customHeight="1" x14ac:dyDescent="0.35">
      <c r="B10" s="4"/>
      <c r="E10" s="169" t="s">
        <v>264</v>
      </c>
      <c r="F10" s="183"/>
      <c r="G10" s="183"/>
      <c r="H10" s="183"/>
    </row>
    <row r="11" spans="2:23" s="5" customFormat="1" ht="6.9" customHeight="1" x14ac:dyDescent="0.35">
      <c r="B11" s="4"/>
    </row>
    <row r="12" spans="2:23" s="5" customFormat="1" ht="12" customHeight="1" x14ac:dyDescent="0.35">
      <c r="B12" s="4"/>
      <c r="C12" s="3" t="s">
        <v>7</v>
      </c>
      <c r="F12" s="6" t="s">
        <v>8</v>
      </c>
      <c r="J12" s="3" t="s">
        <v>9</v>
      </c>
      <c r="K12" s="7"/>
      <c r="L12" s="7"/>
      <c r="M12" s="7"/>
    </row>
    <row r="13" spans="2:23" s="5" customFormat="1" ht="6.9" customHeight="1" x14ac:dyDescent="0.35">
      <c r="B13" s="4"/>
    </row>
    <row r="14" spans="2:23" s="5" customFormat="1" ht="15.15" customHeight="1" x14ac:dyDescent="0.35">
      <c r="B14" s="4"/>
      <c r="C14" s="3" t="s">
        <v>10</v>
      </c>
      <c r="F14" s="6" t="s">
        <v>11</v>
      </c>
      <c r="J14" s="3" t="s">
        <v>13</v>
      </c>
      <c r="K14" s="8" t="s">
        <v>14</v>
      </c>
      <c r="L14" s="8"/>
      <c r="M14" s="8"/>
    </row>
    <row r="15" spans="2:23" s="5" customFormat="1" ht="15.15" customHeight="1" thickBot="1" x14ac:dyDescent="0.4">
      <c r="B15" s="4"/>
      <c r="C15" s="3" t="s">
        <v>12</v>
      </c>
      <c r="F15" s="6" t="s">
        <v>1036</v>
      </c>
      <c r="J15" s="3" t="s">
        <v>15</v>
      </c>
      <c r="K15" s="8"/>
      <c r="L15" s="8"/>
      <c r="M15" s="8"/>
    </row>
    <row r="16" spans="2:23" s="5" customFormat="1" ht="29.5" customHeight="1" thickBot="1" x14ac:dyDescent="0.4">
      <c r="B16" s="4"/>
      <c r="N16" s="179" t="s">
        <v>1064</v>
      </c>
      <c r="O16" s="180"/>
      <c r="P16" s="179" t="s">
        <v>1068</v>
      </c>
      <c r="Q16" s="180"/>
      <c r="R16" s="179" t="s">
        <v>1066</v>
      </c>
      <c r="S16" s="181"/>
      <c r="T16" s="180"/>
      <c r="U16" s="179" t="s">
        <v>1067</v>
      </c>
      <c r="V16" s="181"/>
      <c r="W16" s="182"/>
    </row>
    <row r="17" spans="2:23" s="19" customFormat="1" ht="29.25" customHeight="1" x14ac:dyDescent="0.35">
      <c r="B17" s="15"/>
      <c r="C17" s="16" t="s">
        <v>19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1121</v>
      </c>
      <c r="I17" s="17" t="s">
        <v>1122</v>
      </c>
      <c r="J17" s="17" t="s">
        <v>25</v>
      </c>
      <c r="K17" s="18" t="s">
        <v>17</v>
      </c>
      <c r="L17" s="18" t="s">
        <v>1123</v>
      </c>
      <c r="M17" s="138"/>
      <c r="N17" s="57" t="s">
        <v>1069</v>
      </c>
      <c r="O17" s="58" t="s">
        <v>1070</v>
      </c>
      <c r="P17" s="57" t="s">
        <v>1069</v>
      </c>
      <c r="Q17" s="59" t="s">
        <v>1070</v>
      </c>
      <c r="R17" s="57" t="s">
        <v>1069</v>
      </c>
      <c r="S17" s="58" t="s">
        <v>1070</v>
      </c>
      <c r="T17" s="59" t="s">
        <v>1071</v>
      </c>
      <c r="U17" s="60" t="s">
        <v>1069</v>
      </c>
      <c r="V17" s="58" t="s">
        <v>1070</v>
      </c>
      <c r="W17" s="61" t="s">
        <v>1071</v>
      </c>
    </row>
    <row r="18" spans="2:23" s="5" customFormat="1" ht="23" customHeight="1" x14ac:dyDescent="0.35">
      <c r="B18" s="4"/>
      <c r="C18" s="20" t="s">
        <v>26</v>
      </c>
      <c r="K18" s="21">
        <f>SUM(K19,K28,K55,K62,K65,K93,K114,K129,K140,K143,K163)</f>
        <v>1376703.09</v>
      </c>
      <c r="L18" s="21">
        <f>SUM(L19,L28,L55,L62,L65,L93,L114,L129,L140,L143,L163)+0.02</f>
        <v>1376703.09354</v>
      </c>
      <c r="M18" s="21"/>
      <c r="N18" s="4"/>
      <c r="O18" s="21">
        <f>SUM(O19,O28,O55,O62,O65,O93,O114,O129,O140,O143,O163)</f>
        <v>309499.19804999995</v>
      </c>
      <c r="P18" s="63"/>
      <c r="Q18" s="21">
        <f>SUM(Q19,Q28,Q55,Q62,Q65,Q93,Q114,Q129,Q140,Q143,Q163)</f>
        <v>739682.02257679997</v>
      </c>
      <c r="R18" s="64"/>
      <c r="S18" s="21">
        <f>SUM(S19,S28,S55,S62,S65,S93,S114,S129,S140,S143,S163)</f>
        <v>920119.80162799999</v>
      </c>
      <c r="T18" s="64"/>
      <c r="U18" s="63"/>
      <c r="V18" s="21">
        <f>SUM(V19,V28,V55,V62,V65,V93,V114,V129,V140,V143,V163)</f>
        <v>456583.27191199997</v>
      </c>
    </row>
    <row r="19" spans="2:23" s="23" customFormat="1" ht="23" customHeight="1" x14ac:dyDescent="0.25">
      <c r="B19" s="22"/>
      <c r="D19" s="24" t="s">
        <v>27</v>
      </c>
      <c r="E19" s="36" t="s">
        <v>265</v>
      </c>
      <c r="F19" s="36" t="s">
        <v>266</v>
      </c>
      <c r="J19" s="26"/>
      <c r="K19" s="37">
        <f>SUM(K20:K27)</f>
        <v>21259.37</v>
      </c>
      <c r="L19" s="37">
        <f>SUM(L20:L27)</f>
        <v>21259.370000000003</v>
      </c>
      <c r="M19" s="37"/>
      <c r="N19" s="65"/>
      <c r="O19" s="37">
        <f>SUM(O20:O27)</f>
        <v>20590.840000000004</v>
      </c>
      <c r="P19" s="67"/>
      <c r="Q19" s="37">
        <f>SUM(Q20:Q27)</f>
        <v>668.53</v>
      </c>
      <c r="R19" s="68"/>
      <c r="S19" s="37">
        <f>SUM(S20:S27)</f>
        <v>21259.370000000003</v>
      </c>
      <c r="T19" s="68"/>
      <c r="U19" s="67"/>
      <c r="V19" s="37">
        <f>SUM(V20:V27)</f>
        <v>0</v>
      </c>
      <c r="W19" s="69"/>
    </row>
    <row r="20" spans="2:23" s="5" customFormat="1" ht="33" customHeight="1" x14ac:dyDescent="0.35">
      <c r="B20" s="4"/>
      <c r="C20" s="28" t="s">
        <v>31</v>
      </c>
      <c r="D20" s="28" t="s">
        <v>32</v>
      </c>
      <c r="E20" s="29" t="s">
        <v>267</v>
      </c>
      <c r="F20" s="30" t="s">
        <v>268</v>
      </c>
      <c r="G20" s="31" t="s">
        <v>207</v>
      </c>
      <c r="H20" s="32">
        <v>50</v>
      </c>
      <c r="I20" s="32">
        <v>50</v>
      </c>
      <c r="J20" s="33">
        <v>46.8</v>
      </c>
      <c r="K20" s="34">
        <f t="shared" ref="K20:K27" si="0">ROUND(J20*H20,2)</f>
        <v>2340</v>
      </c>
      <c r="L20" s="90">
        <f>I20*J20</f>
        <v>2340</v>
      </c>
      <c r="M20" s="90">
        <v>0</v>
      </c>
      <c r="N20" s="70">
        <v>50</v>
      </c>
      <c r="O20" s="71">
        <f>N20*J20</f>
        <v>2340</v>
      </c>
      <c r="P20" s="72"/>
      <c r="Q20" s="73">
        <f>P20*J20</f>
        <v>0</v>
      </c>
      <c r="R20" s="70">
        <f>P20+N20</f>
        <v>50</v>
      </c>
      <c r="S20" s="74">
        <f>R20*J20</f>
        <v>2340</v>
      </c>
      <c r="T20" s="75">
        <f>S20/K20</f>
        <v>1</v>
      </c>
      <c r="U20" s="76">
        <f>H20-R20</f>
        <v>0</v>
      </c>
      <c r="V20" s="77">
        <f>U20*J20</f>
        <v>0</v>
      </c>
      <c r="W20" s="78">
        <f>U20/H20</f>
        <v>0</v>
      </c>
    </row>
    <row r="21" spans="2:23" s="5" customFormat="1" ht="24.15" customHeight="1" x14ac:dyDescent="0.35">
      <c r="B21" s="4"/>
      <c r="C21" s="28" t="s">
        <v>0</v>
      </c>
      <c r="D21" s="28" t="s">
        <v>32</v>
      </c>
      <c r="E21" s="29" t="s">
        <v>270</v>
      </c>
      <c r="F21" s="30" t="s">
        <v>271</v>
      </c>
      <c r="G21" s="31" t="s">
        <v>272</v>
      </c>
      <c r="H21" s="32">
        <v>4</v>
      </c>
      <c r="I21" s="32">
        <v>4</v>
      </c>
      <c r="J21" s="33">
        <v>1002.79</v>
      </c>
      <c r="K21" s="34">
        <f t="shared" si="0"/>
        <v>4011.16</v>
      </c>
      <c r="L21" s="90">
        <f t="shared" ref="L21:L84" si="1">I21*J21</f>
        <v>4011.16</v>
      </c>
      <c r="M21" s="90">
        <v>0</v>
      </c>
      <c r="N21" s="70">
        <v>4</v>
      </c>
      <c r="O21" s="71">
        <f t="shared" ref="O21:O84" si="2">N21*J21</f>
        <v>4011.16</v>
      </c>
      <c r="P21" s="72"/>
      <c r="Q21" s="73">
        <f t="shared" ref="Q21:Q27" si="3">P21*J21</f>
        <v>0</v>
      </c>
      <c r="R21" s="70">
        <f t="shared" ref="R21:R27" si="4">P21+N21</f>
        <v>4</v>
      </c>
      <c r="S21" s="74">
        <f t="shared" ref="S21:S27" si="5">R21*J21</f>
        <v>4011.16</v>
      </c>
      <c r="T21" s="75">
        <f t="shared" ref="T21:T27" si="6">S21/K21</f>
        <v>1</v>
      </c>
      <c r="U21" s="76">
        <f t="shared" ref="U21:U27" si="7">H21-R21</f>
        <v>0</v>
      </c>
      <c r="V21" s="77">
        <f t="shared" ref="V21:V27" si="8">U21*J21</f>
        <v>0</v>
      </c>
      <c r="W21" s="78">
        <f t="shared" ref="W21:W27" si="9">U21/H21</f>
        <v>0</v>
      </c>
    </row>
    <row r="22" spans="2:23" s="5" customFormat="1" ht="24.15" customHeight="1" x14ac:dyDescent="0.35">
      <c r="B22" s="4"/>
      <c r="C22" s="28" t="s">
        <v>38</v>
      </c>
      <c r="D22" s="28" t="s">
        <v>32</v>
      </c>
      <c r="E22" s="29" t="s">
        <v>273</v>
      </c>
      <c r="F22" s="30" t="s">
        <v>274</v>
      </c>
      <c r="G22" s="31" t="s">
        <v>272</v>
      </c>
      <c r="H22" s="32">
        <v>1</v>
      </c>
      <c r="I22" s="32">
        <v>1</v>
      </c>
      <c r="J22" s="33">
        <v>1537.62</v>
      </c>
      <c r="K22" s="34">
        <f t="shared" si="0"/>
        <v>1537.62</v>
      </c>
      <c r="L22" s="90">
        <f t="shared" si="1"/>
        <v>1537.62</v>
      </c>
      <c r="M22" s="90">
        <v>0</v>
      </c>
      <c r="N22" s="70">
        <v>1</v>
      </c>
      <c r="O22" s="71">
        <f t="shared" si="2"/>
        <v>1537.62</v>
      </c>
      <c r="P22" s="72"/>
      <c r="Q22" s="73">
        <f t="shared" si="3"/>
        <v>0</v>
      </c>
      <c r="R22" s="70">
        <f t="shared" si="4"/>
        <v>1</v>
      </c>
      <c r="S22" s="74">
        <f t="shared" si="5"/>
        <v>1537.62</v>
      </c>
      <c r="T22" s="75">
        <f t="shared" si="6"/>
        <v>1</v>
      </c>
      <c r="U22" s="76">
        <f t="shared" si="7"/>
        <v>0</v>
      </c>
      <c r="V22" s="77">
        <f t="shared" si="8"/>
        <v>0</v>
      </c>
      <c r="W22" s="78">
        <f t="shared" si="9"/>
        <v>0</v>
      </c>
    </row>
    <row r="23" spans="2:23" s="5" customFormat="1" ht="24.15" customHeight="1" x14ac:dyDescent="0.35">
      <c r="B23" s="4"/>
      <c r="C23" s="28" t="s">
        <v>41</v>
      </c>
      <c r="D23" s="28" t="s">
        <v>32</v>
      </c>
      <c r="E23" s="29" t="s">
        <v>275</v>
      </c>
      <c r="F23" s="30" t="s">
        <v>276</v>
      </c>
      <c r="G23" s="31" t="s">
        <v>272</v>
      </c>
      <c r="H23" s="32">
        <v>1</v>
      </c>
      <c r="I23" s="32">
        <v>1</v>
      </c>
      <c r="J23" s="33">
        <v>3342.65</v>
      </c>
      <c r="K23" s="34">
        <f t="shared" si="0"/>
        <v>3342.65</v>
      </c>
      <c r="L23" s="90">
        <f t="shared" si="1"/>
        <v>3342.65</v>
      </c>
      <c r="M23" s="90">
        <v>0</v>
      </c>
      <c r="N23" s="70">
        <v>1</v>
      </c>
      <c r="O23" s="71">
        <f t="shared" si="2"/>
        <v>3342.65</v>
      </c>
      <c r="P23" s="72"/>
      <c r="Q23" s="73">
        <f t="shared" si="3"/>
        <v>0</v>
      </c>
      <c r="R23" s="70">
        <f t="shared" si="4"/>
        <v>1</v>
      </c>
      <c r="S23" s="74">
        <f t="shared" si="5"/>
        <v>3342.65</v>
      </c>
      <c r="T23" s="75">
        <f t="shared" si="6"/>
        <v>1</v>
      </c>
      <c r="U23" s="76">
        <f t="shared" si="7"/>
        <v>0</v>
      </c>
      <c r="V23" s="77">
        <f t="shared" si="8"/>
        <v>0</v>
      </c>
      <c r="W23" s="78">
        <f t="shared" si="9"/>
        <v>0</v>
      </c>
    </row>
    <row r="24" spans="2:23" s="5" customFormat="1" ht="24.15" customHeight="1" x14ac:dyDescent="0.35">
      <c r="B24" s="4"/>
      <c r="C24" s="28" t="s">
        <v>30</v>
      </c>
      <c r="D24" s="28" t="s">
        <v>32</v>
      </c>
      <c r="E24" s="29" t="s">
        <v>277</v>
      </c>
      <c r="F24" s="30" t="s">
        <v>278</v>
      </c>
      <c r="G24" s="31" t="s">
        <v>272</v>
      </c>
      <c r="H24" s="32">
        <v>1</v>
      </c>
      <c r="I24" s="32">
        <v>1</v>
      </c>
      <c r="J24" s="33">
        <v>6016.77</v>
      </c>
      <c r="K24" s="34">
        <f t="shared" si="0"/>
        <v>6016.77</v>
      </c>
      <c r="L24" s="90">
        <f t="shared" si="1"/>
        <v>6016.77</v>
      </c>
      <c r="M24" s="90">
        <v>0</v>
      </c>
      <c r="N24" s="70">
        <v>1</v>
      </c>
      <c r="O24" s="71">
        <f t="shared" si="2"/>
        <v>6016.77</v>
      </c>
      <c r="P24" s="72"/>
      <c r="Q24" s="73">
        <f t="shared" si="3"/>
        <v>0</v>
      </c>
      <c r="R24" s="70">
        <f t="shared" si="4"/>
        <v>1</v>
      </c>
      <c r="S24" s="74">
        <f t="shared" si="5"/>
        <v>6016.77</v>
      </c>
      <c r="T24" s="75">
        <f t="shared" si="6"/>
        <v>1</v>
      </c>
      <c r="U24" s="76">
        <f t="shared" si="7"/>
        <v>0</v>
      </c>
      <c r="V24" s="77">
        <f t="shared" si="8"/>
        <v>0</v>
      </c>
      <c r="W24" s="78">
        <f t="shared" si="9"/>
        <v>0</v>
      </c>
    </row>
    <row r="25" spans="2:23" s="5" customFormat="1" ht="21.75" customHeight="1" x14ac:dyDescent="0.35">
      <c r="B25" s="4"/>
      <c r="C25" s="28" t="s">
        <v>46</v>
      </c>
      <c r="D25" s="28" t="s">
        <v>32</v>
      </c>
      <c r="E25" s="29" t="s">
        <v>279</v>
      </c>
      <c r="F25" s="30" t="s">
        <v>280</v>
      </c>
      <c r="G25" s="31" t="s">
        <v>272</v>
      </c>
      <c r="H25" s="32">
        <v>5</v>
      </c>
      <c r="I25" s="32">
        <v>5</v>
      </c>
      <c r="J25" s="33">
        <v>467.97</v>
      </c>
      <c r="K25" s="34">
        <f t="shared" si="0"/>
        <v>2339.85</v>
      </c>
      <c r="L25" s="90">
        <f t="shared" si="1"/>
        <v>2339.8500000000004</v>
      </c>
      <c r="M25" s="90">
        <v>0</v>
      </c>
      <c r="N25" s="70">
        <v>5</v>
      </c>
      <c r="O25" s="71">
        <f t="shared" si="2"/>
        <v>2339.8500000000004</v>
      </c>
      <c r="P25" s="72"/>
      <c r="Q25" s="73">
        <f t="shared" si="3"/>
        <v>0</v>
      </c>
      <c r="R25" s="70">
        <f t="shared" si="4"/>
        <v>5</v>
      </c>
      <c r="S25" s="74">
        <f t="shared" si="5"/>
        <v>2339.8500000000004</v>
      </c>
      <c r="T25" s="75">
        <f t="shared" si="6"/>
        <v>1.0000000000000002</v>
      </c>
      <c r="U25" s="76">
        <f t="shared" si="7"/>
        <v>0</v>
      </c>
      <c r="V25" s="77">
        <f t="shared" si="8"/>
        <v>0</v>
      </c>
      <c r="W25" s="78">
        <f t="shared" si="9"/>
        <v>0</v>
      </c>
    </row>
    <row r="26" spans="2:23" s="5" customFormat="1" ht="21.75" customHeight="1" x14ac:dyDescent="0.35">
      <c r="B26" s="4"/>
      <c r="C26" s="28" t="s">
        <v>49</v>
      </c>
      <c r="D26" s="28" t="s">
        <v>32</v>
      </c>
      <c r="E26" s="29" t="s">
        <v>281</v>
      </c>
      <c r="F26" s="30" t="s">
        <v>282</v>
      </c>
      <c r="G26" s="31" t="s">
        <v>272</v>
      </c>
      <c r="H26" s="32">
        <v>1</v>
      </c>
      <c r="I26" s="32">
        <v>1</v>
      </c>
      <c r="J26" s="33">
        <v>668.53</v>
      </c>
      <c r="K26" s="34">
        <f t="shared" si="0"/>
        <v>668.53</v>
      </c>
      <c r="L26" s="90">
        <f t="shared" si="1"/>
        <v>668.53</v>
      </c>
      <c r="M26" s="90">
        <v>0</v>
      </c>
      <c r="N26" s="70">
        <v>0</v>
      </c>
      <c r="O26" s="71">
        <f t="shared" si="2"/>
        <v>0</v>
      </c>
      <c r="P26" s="72">
        <v>1</v>
      </c>
      <c r="Q26" s="73">
        <f t="shared" si="3"/>
        <v>668.53</v>
      </c>
      <c r="R26" s="70">
        <f t="shared" si="4"/>
        <v>1</v>
      </c>
      <c r="S26" s="74">
        <f t="shared" si="5"/>
        <v>668.53</v>
      </c>
      <c r="T26" s="75">
        <f t="shared" si="6"/>
        <v>1</v>
      </c>
      <c r="U26" s="76">
        <f t="shared" si="7"/>
        <v>0</v>
      </c>
      <c r="V26" s="77">
        <f t="shared" si="8"/>
        <v>0</v>
      </c>
      <c r="W26" s="78">
        <f t="shared" si="9"/>
        <v>0</v>
      </c>
    </row>
    <row r="27" spans="2:23" s="5" customFormat="1" ht="21.75" customHeight="1" x14ac:dyDescent="0.35">
      <c r="B27" s="4"/>
      <c r="C27" s="28" t="s">
        <v>52</v>
      </c>
      <c r="D27" s="28" t="s">
        <v>32</v>
      </c>
      <c r="E27" s="29" t="s">
        <v>283</v>
      </c>
      <c r="F27" s="30" t="s">
        <v>284</v>
      </c>
      <c r="G27" s="31" t="s">
        <v>272</v>
      </c>
      <c r="H27" s="32">
        <v>1</v>
      </c>
      <c r="I27" s="32">
        <v>1</v>
      </c>
      <c r="J27" s="33">
        <v>1002.79</v>
      </c>
      <c r="K27" s="34">
        <f t="shared" si="0"/>
        <v>1002.79</v>
      </c>
      <c r="L27" s="90">
        <f t="shared" si="1"/>
        <v>1002.79</v>
      </c>
      <c r="M27" s="90">
        <v>0</v>
      </c>
      <c r="N27" s="70">
        <v>1</v>
      </c>
      <c r="O27" s="71">
        <f t="shared" si="2"/>
        <v>1002.79</v>
      </c>
      <c r="P27" s="72"/>
      <c r="Q27" s="73">
        <f t="shared" si="3"/>
        <v>0</v>
      </c>
      <c r="R27" s="70">
        <f t="shared" si="4"/>
        <v>1</v>
      </c>
      <c r="S27" s="74">
        <f t="shared" si="5"/>
        <v>1002.79</v>
      </c>
      <c r="T27" s="75">
        <f t="shared" si="6"/>
        <v>1</v>
      </c>
      <c r="U27" s="76">
        <f t="shared" si="7"/>
        <v>0</v>
      </c>
      <c r="V27" s="77">
        <f t="shared" si="8"/>
        <v>0</v>
      </c>
      <c r="W27" s="78">
        <f t="shared" si="9"/>
        <v>0</v>
      </c>
    </row>
    <row r="28" spans="2:23" s="23" customFormat="1" ht="23" customHeight="1" x14ac:dyDescent="0.25">
      <c r="B28" s="22"/>
      <c r="D28" s="24" t="s">
        <v>27</v>
      </c>
      <c r="E28" s="36" t="s">
        <v>285</v>
      </c>
      <c r="F28" s="36" t="s">
        <v>286</v>
      </c>
      <c r="J28" s="26"/>
      <c r="K28" s="37">
        <f>SUM(K29:K54)</f>
        <v>37517.18</v>
      </c>
      <c r="L28" s="37">
        <f>SUM(L29:L54)</f>
        <v>37517.175050000005</v>
      </c>
      <c r="M28" s="90">
        <v>0</v>
      </c>
      <c r="O28" s="37">
        <f>SUM(O29:O54)</f>
        <v>37517.175050000005</v>
      </c>
      <c r="Q28" s="37">
        <f>SUM(Q29:Q54)</f>
        <v>0</v>
      </c>
      <c r="S28" s="37">
        <f>SUM(S29:S54)</f>
        <v>37517.175050000005</v>
      </c>
      <c r="V28" s="37">
        <f>SUM(V29:V54)</f>
        <v>0</v>
      </c>
    </row>
    <row r="29" spans="2:23" s="5" customFormat="1" ht="33" customHeight="1" x14ac:dyDescent="0.35">
      <c r="B29" s="4"/>
      <c r="C29" s="28" t="s">
        <v>55</v>
      </c>
      <c r="D29" s="28" t="s">
        <v>32</v>
      </c>
      <c r="E29" s="29" t="s">
        <v>287</v>
      </c>
      <c r="F29" s="30" t="s">
        <v>288</v>
      </c>
      <c r="G29" s="31" t="s">
        <v>207</v>
      </c>
      <c r="H29" s="32">
        <v>13</v>
      </c>
      <c r="I29" s="32">
        <v>13</v>
      </c>
      <c r="J29" s="33">
        <v>33.43</v>
      </c>
      <c r="K29" s="34">
        <f t="shared" ref="K29:K54" si="10">ROUND(J29*H29,2)</f>
        <v>434.59</v>
      </c>
      <c r="L29" s="90">
        <f t="shared" si="1"/>
        <v>434.59</v>
      </c>
      <c r="M29" s="90">
        <v>0</v>
      </c>
      <c r="N29" s="70">
        <v>13</v>
      </c>
      <c r="O29" s="71">
        <f t="shared" si="2"/>
        <v>434.59</v>
      </c>
      <c r="P29" s="72"/>
      <c r="Q29" s="73">
        <f t="shared" ref="Q29:Q54" si="11">P29*J29</f>
        <v>0</v>
      </c>
      <c r="R29" s="70">
        <f t="shared" ref="R29:R54" si="12">P29+N29</f>
        <v>13</v>
      </c>
      <c r="S29" s="74">
        <f t="shared" ref="S29:S54" si="13">R29*J29</f>
        <v>434.59</v>
      </c>
      <c r="T29" s="75">
        <f t="shared" ref="T29:T54" si="14">S29/K29</f>
        <v>1</v>
      </c>
      <c r="U29" s="76">
        <f t="shared" ref="U29:U54" si="15">H29-R29</f>
        <v>0</v>
      </c>
      <c r="V29" s="77">
        <f t="shared" ref="V29:V54" si="16">U29*J29</f>
        <v>0</v>
      </c>
      <c r="W29" s="78">
        <f t="shared" ref="W29:W54" si="17">U29/H29</f>
        <v>0</v>
      </c>
    </row>
    <row r="30" spans="2:23" s="5" customFormat="1" ht="16.5" customHeight="1" x14ac:dyDescent="0.35">
      <c r="B30" s="4"/>
      <c r="C30" s="38" t="s">
        <v>58</v>
      </c>
      <c r="D30" s="38" t="s">
        <v>193</v>
      </c>
      <c r="E30" s="39" t="s">
        <v>289</v>
      </c>
      <c r="F30" s="40" t="s">
        <v>290</v>
      </c>
      <c r="G30" s="41" t="s">
        <v>214</v>
      </c>
      <c r="H30" s="42">
        <v>3.9020000000000001</v>
      </c>
      <c r="I30" s="42">
        <v>3.9020000000000001</v>
      </c>
      <c r="J30" s="43">
        <v>668.53</v>
      </c>
      <c r="K30" s="44">
        <f t="shared" si="10"/>
        <v>2608.6</v>
      </c>
      <c r="L30" s="90">
        <f t="shared" si="1"/>
        <v>2608.6040600000001</v>
      </c>
      <c r="M30" s="90">
        <v>0</v>
      </c>
      <c r="N30" s="70">
        <v>3.9020000000000001</v>
      </c>
      <c r="O30" s="71">
        <f t="shared" si="2"/>
        <v>2608.6040600000001</v>
      </c>
      <c r="P30" s="72"/>
      <c r="Q30" s="73">
        <f t="shared" si="11"/>
        <v>0</v>
      </c>
      <c r="R30" s="70">
        <f t="shared" si="12"/>
        <v>3.9020000000000001</v>
      </c>
      <c r="S30" s="74">
        <f t="shared" si="13"/>
        <v>2608.6040600000001</v>
      </c>
      <c r="T30" s="75">
        <f t="shared" si="14"/>
        <v>1.000001556390401</v>
      </c>
      <c r="U30" s="76">
        <f t="shared" si="15"/>
        <v>0</v>
      </c>
      <c r="V30" s="77">
        <f t="shared" si="16"/>
        <v>0</v>
      </c>
      <c r="W30" s="78">
        <f t="shared" si="17"/>
        <v>0</v>
      </c>
    </row>
    <row r="31" spans="2:23" s="5" customFormat="1" ht="33" customHeight="1" x14ac:dyDescent="0.35">
      <c r="B31" s="4"/>
      <c r="C31" s="28" t="s">
        <v>61</v>
      </c>
      <c r="D31" s="28" t="s">
        <v>32</v>
      </c>
      <c r="E31" s="29" t="s">
        <v>291</v>
      </c>
      <c r="F31" s="30" t="s">
        <v>292</v>
      </c>
      <c r="G31" s="31" t="s">
        <v>272</v>
      </c>
      <c r="H31" s="32">
        <v>8</v>
      </c>
      <c r="I31" s="32">
        <v>8</v>
      </c>
      <c r="J31" s="33">
        <v>167.13</v>
      </c>
      <c r="K31" s="34">
        <f t="shared" si="10"/>
        <v>1337.04</v>
      </c>
      <c r="L31" s="90">
        <f t="shared" si="1"/>
        <v>1337.04</v>
      </c>
      <c r="M31" s="90">
        <v>0</v>
      </c>
      <c r="N31" s="70">
        <v>8</v>
      </c>
      <c r="O31" s="71">
        <f t="shared" si="2"/>
        <v>1337.04</v>
      </c>
      <c r="P31" s="72"/>
      <c r="Q31" s="73">
        <f t="shared" si="11"/>
        <v>0</v>
      </c>
      <c r="R31" s="70">
        <f t="shared" si="12"/>
        <v>8</v>
      </c>
      <c r="S31" s="74">
        <f t="shared" si="13"/>
        <v>1337.04</v>
      </c>
      <c r="T31" s="75">
        <f t="shared" si="14"/>
        <v>1</v>
      </c>
      <c r="U31" s="76">
        <f t="shared" si="15"/>
        <v>0</v>
      </c>
      <c r="V31" s="77">
        <f t="shared" si="16"/>
        <v>0</v>
      </c>
      <c r="W31" s="78">
        <f t="shared" si="17"/>
        <v>0</v>
      </c>
    </row>
    <row r="32" spans="2:23" s="5" customFormat="1" ht="33" customHeight="1" x14ac:dyDescent="0.35">
      <c r="B32" s="4"/>
      <c r="C32" s="28" t="s">
        <v>64</v>
      </c>
      <c r="D32" s="28" t="s">
        <v>32</v>
      </c>
      <c r="E32" s="29" t="s">
        <v>293</v>
      </c>
      <c r="F32" s="30" t="s">
        <v>294</v>
      </c>
      <c r="G32" s="31" t="s">
        <v>272</v>
      </c>
      <c r="H32" s="32">
        <v>5</v>
      </c>
      <c r="I32" s="32">
        <v>5</v>
      </c>
      <c r="J32" s="33">
        <v>334.26</v>
      </c>
      <c r="K32" s="34">
        <f t="shared" si="10"/>
        <v>1671.3</v>
      </c>
      <c r="L32" s="90">
        <f t="shared" si="1"/>
        <v>1671.3</v>
      </c>
      <c r="M32" s="90">
        <v>0</v>
      </c>
      <c r="N32" s="70">
        <v>5</v>
      </c>
      <c r="O32" s="71">
        <f t="shared" si="2"/>
        <v>1671.3</v>
      </c>
      <c r="P32" s="72"/>
      <c r="Q32" s="73">
        <f t="shared" si="11"/>
        <v>0</v>
      </c>
      <c r="R32" s="70">
        <f t="shared" si="12"/>
        <v>5</v>
      </c>
      <c r="S32" s="74">
        <f t="shared" si="13"/>
        <v>1671.3</v>
      </c>
      <c r="T32" s="75">
        <f t="shared" si="14"/>
        <v>1</v>
      </c>
      <c r="U32" s="76">
        <f t="shared" si="15"/>
        <v>0</v>
      </c>
      <c r="V32" s="77">
        <f t="shared" si="16"/>
        <v>0</v>
      </c>
      <c r="W32" s="78">
        <f t="shared" si="17"/>
        <v>0</v>
      </c>
    </row>
    <row r="33" spans="2:23" s="5" customFormat="1" ht="24.15" customHeight="1" x14ac:dyDescent="0.35">
      <c r="B33" s="4"/>
      <c r="C33" s="28" t="s">
        <v>130</v>
      </c>
      <c r="D33" s="28" t="s">
        <v>32</v>
      </c>
      <c r="E33" s="29" t="s">
        <v>295</v>
      </c>
      <c r="F33" s="30" t="s">
        <v>296</v>
      </c>
      <c r="G33" s="31" t="s">
        <v>272</v>
      </c>
      <c r="H33" s="32">
        <v>5</v>
      </c>
      <c r="I33" s="32">
        <v>5</v>
      </c>
      <c r="J33" s="33">
        <v>200.56</v>
      </c>
      <c r="K33" s="34">
        <f t="shared" si="10"/>
        <v>1002.8</v>
      </c>
      <c r="L33" s="90">
        <f t="shared" si="1"/>
        <v>1002.8</v>
      </c>
      <c r="M33" s="90">
        <v>0</v>
      </c>
      <c r="N33" s="70">
        <v>5</v>
      </c>
      <c r="O33" s="71">
        <f t="shared" si="2"/>
        <v>1002.8</v>
      </c>
      <c r="P33" s="72"/>
      <c r="Q33" s="73">
        <f t="shared" si="11"/>
        <v>0</v>
      </c>
      <c r="R33" s="70">
        <f t="shared" si="12"/>
        <v>5</v>
      </c>
      <c r="S33" s="74">
        <f t="shared" si="13"/>
        <v>1002.8</v>
      </c>
      <c r="T33" s="75">
        <f t="shared" si="14"/>
        <v>1</v>
      </c>
      <c r="U33" s="76">
        <f t="shared" si="15"/>
        <v>0</v>
      </c>
      <c r="V33" s="77">
        <f t="shared" si="16"/>
        <v>0</v>
      </c>
      <c r="W33" s="78">
        <f t="shared" si="17"/>
        <v>0</v>
      </c>
    </row>
    <row r="34" spans="2:23" s="5" customFormat="1" ht="24.15" customHeight="1" x14ac:dyDescent="0.35">
      <c r="B34" s="4"/>
      <c r="C34" s="28" t="s">
        <v>133</v>
      </c>
      <c r="D34" s="28" t="s">
        <v>32</v>
      </c>
      <c r="E34" s="29" t="s">
        <v>297</v>
      </c>
      <c r="F34" s="30" t="s">
        <v>298</v>
      </c>
      <c r="G34" s="31" t="s">
        <v>272</v>
      </c>
      <c r="H34" s="32">
        <v>8</v>
      </c>
      <c r="I34" s="32">
        <v>8</v>
      </c>
      <c r="J34" s="33">
        <v>100.28</v>
      </c>
      <c r="K34" s="34">
        <f t="shared" si="10"/>
        <v>802.24</v>
      </c>
      <c r="L34" s="90">
        <f t="shared" si="1"/>
        <v>802.24</v>
      </c>
      <c r="M34" s="90">
        <v>0</v>
      </c>
      <c r="N34" s="70">
        <v>8</v>
      </c>
      <c r="O34" s="71">
        <f t="shared" si="2"/>
        <v>802.24</v>
      </c>
      <c r="P34" s="72"/>
      <c r="Q34" s="73">
        <f t="shared" si="11"/>
        <v>0</v>
      </c>
      <c r="R34" s="70">
        <f t="shared" si="12"/>
        <v>8</v>
      </c>
      <c r="S34" s="74">
        <f t="shared" si="13"/>
        <v>802.24</v>
      </c>
      <c r="T34" s="75">
        <f t="shared" si="14"/>
        <v>1</v>
      </c>
      <c r="U34" s="76">
        <f t="shared" si="15"/>
        <v>0</v>
      </c>
      <c r="V34" s="77">
        <f t="shared" si="16"/>
        <v>0</v>
      </c>
      <c r="W34" s="78">
        <f t="shared" si="17"/>
        <v>0</v>
      </c>
    </row>
    <row r="35" spans="2:23" s="5" customFormat="1" ht="16.5" customHeight="1" x14ac:dyDescent="0.35">
      <c r="B35" s="4"/>
      <c r="C35" s="38" t="s">
        <v>136</v>
      </c>
      <c r="D35" s="38" t="s">
        <v>193</v>
      </c>
      <c r="E35" s="39" t="s">
        <v>299</v>
      </c>
      <c r="F35" s="40" t="s">
        <v>300</v>
      </c>
      <c r="G35" s="41" t="s">
        <v>214</v>
      </c>
      <c r="H35" s="42">
        <v>1.597</v>
      </c>
      <c r="I35" s="42">
        <v>1.597</v>
      </c>
      <c r="J35" s="43">
        <v>1671.32</v>
      </c>
      <c r="K35" s="44">
        <f t="shared" si="10"/>
        <v>2669.1</v>
      </c>
      <c r="L35" s="90">
        <f t="shared" si="1"/>
        <v>2669.0980399999999</v>
      </c>
      <c r="M35" s="90">
        <v>0</v>
      </c>
      <c r="N35" s="70">
        <v>1.597</v>
      </c>
      <c r="O35" s="71">
        <f t="shared" si="2"/>
        <v>2669.0980399999999</v>
      </c>
      <c r="P35" s="72"/>
      <c r="Q35" s="73">
        <f t="shared" si="11"/>
        <v>0</v>
      </c>
      <c r="R35" s="70">
        <f t="shared" si="12"/>
        <v>1.597</v>
      </c>
      <c r="S35" s="74">
        <f t="shared" si="13"/>
        <v>2669.0980399999999</v>
      </c>
      <c r="T35" s="75">
        <f t="shared" si="14"/>
        <v>0.99999926567007602</v>
      </c>
      <c r="U35" s="76">
        <f t="shared" si="15"/>
        <v>0</v>
      </c>
      <c r="V35" s="77">
        <f t="shared" si="16"/>
        <v>0</v>
      </c>
      <c r="W35" s="78">
        <f t="shared" si="17"/>
        <v>0</v>
      </c>
    </row>
    <row r="36" spans="2:23" s="5" customFormat="1" ht="24.15" customHeight="1" x14ac:dyDescent="0.35">
      <c r="B36" s="4"/>
      <c r="C36" s="28" t="s">
        <v>74</v>
      </c>
      <c r="D36" s="28" t="s">
        <v>32</v>
      </c>
      <c r="E36" s="29" t="s">
        <v>301</v>
      </c>
      <c r="F36" s="30" t="s">
        <v>302</v>
      </c>
      <c r="G36" s="31" t="s">
        <v>272</v>
      </c>
      <c r="H36" s="32">
        <v>5</v>
      </c>
      <c r="I36" s="32">
        <v>5</v>
      </c>
      <c r="J36" s="33">
        <v>247.36</v>
      </c>
      <c r="K36" s="34">
        <f t="shared" si="10"/>
        <v>1236.8</v>
      </c>
      <c r="L36" s="90">
        <f t="shared" si="1"/>
        <v>1236.8000000000002</v>
      </c>
      <c r="M36" s="90">
        <v>0</v>
      </c>
      <c r="N36" s="70">
        <v>5</v>
      </c>
      <c r="O36" s="71">
        <f t="shared" si="2"/>
        <v>1236.8000000000002</v>
      </c>
      <c r="P36" s="72"/>
      <c r="Q36" s="73">
        <f t="shared" si="11"/>
        <v>0</v>
      </c>
      <c r="R36" s="70">
        <f t="shared" si="12"/>
        <v>5</v>
      </c>
      <c r="S36" s="74">
        <f t="shared" si="13"/>
        <v>1236.8000000000002</v>
      </c>
      <c r="T36" s="75">
        <f t="shared" si="14"/>
        <v>1.0000000000000002</v>
      </c>
      <c r="U36" s="76">
        <f t="shared" si="15"/>
        <v>0</v>
      </c>
      <c r="V36" s="77">
        <f t="shared" si="16"/>
        <v>0</v>
      </c>
      <c r="W36" s="78">
        <f t="shared" si="17"/>
        <v>0</v>
      </c>
    </row>
    <row r="37" spans="2:23" s="5" customFormat="1" ht="21.75" customHeight="1" x14ac:dyDescent="0.35">
      <c r="B37" s="4"/>
      <c r="C37" s="38" t="s">
        <v>143</v>
      </c>
      <c r="D37" s="38" t="s">
        <v>193</v>
      </c>
      <c r="E37" s="39" t="s">
        <v>303</v>
      </c>
      <c r="F37" s="40" t="s">
        <v>304</v>
      </c>
      <c r="G37" s="41" t="s">
        <v>73</v>
      </c>
      <c r="H37" s="42">
        <v>15</v>
      </c>
      <c r="I37" s="42">
        <v>15</v>
      </c>
      <c r="J37" s="43">
        <v>167.13</v>
      </c>
      <c r="K37" s="44">
        <f t="shared" si="10"/>
        <v>2506.9499999999998</v>
      </c>
      <c r="L37" s="90">
        <f t="shared" si="1"/>
        <v>2506.9499999999998</v>
      </c>
      <c r="M37" s="90">
        <v>0</v>
      </c>
      <c r="N37" s="70">
        <v>15</v>
      </c>
      <c r="O37" s="71">
        <f t="shared" si="2"/>
        <v>2506.9499999999998</v>
      </c>
      <c r="P37" s="72"/>
      <c r="Q37" s="73">
        <f t="shared" si="11"/>
        <v>0</v>
      </c>
      <c r="R37" s="70">
        <f t="shared" si="12"/>
        <v>15</v>
      </c>
      <c r="S37" s="74">
        <f t="shared" si="13"/>
        <v>2506.9499999999998</v>
      </c>
      <c r="T37" s="75">
        <f t="shared" si="14"/>
        <v>1</v>
      </c>
      <c r="U37" s="76">
        <f t="shared" si="15"/>
        <v>0</v>
      </c>
      <c r="V37" s="77">
        <f t="shared" si="16"/>
        <v>0</v>
      </c>
      <c r="W37" s="78">
        <f t="shared" si="17"/>
        <v>0</v>
      </c>
    </row>
    <row r="38" spans="2:23" s="5" customFormat="1" ht="16.5" customHeight="1" x14ac:dyDescent="0.35">
      <c r="B38" s="4"/>
      <c r="C38" s="38" t="s">
        <v>147</v>
      </c>
      <c r="D38" s="38" t="s">
        <v>193</v>
      </c>
      <c r="E38" s="39" t="s">
        <v>305</v>
      </c>
      <c r="F38" s="40" t="s">
        <v>306</v>
      </c>
      <c r="G38" s="41" t="s">
        <v>73</v>
      </c>
      <c r="H38" s="42">
        <v>15</v>
      </c>
      <c r="I38" s="42">
        <v>15</v>
      </c>
      <c r="J38" s="43">
        <v>33.43</v>
      </c>
      <c r="K38" s="44">
        <f t="shared" si="10"/>
        <v>501.45</v>
      </c>
      <c r="L38" s="90">
        <f t="shared" si="1"/>
        <v>501.45</v>
      </c>
      <c r="M38" s="90">
        <v>0</v>
      </c>
      <c r="N38" s="70">
        <v>15</v>
      </c>
      <c r="O38" s="71">
        <f t="shared" si="2"/>
        <v>501.45</v>
      </c>
      <c r="P38" s="72"/>
      <c r="Q38" s="73">
        <f t="shared" si="11"/>
        <v>0</v>
      </c>
      <c r="R38" s="70">
        <f t="shared" si="12"/>
        <v>15</v>
      </c>
      <c r="S38" s="74">
        <f t="shared" si="13"/>
        <v>501.45</v>
      </c>
      <c r="T38" s="75">
        <f t="shared" si="14"/>
        <v>1</v>
      </c>
      <c r="U38" s="76">
        <f t="shared" si="15"/>
        <v>0</v>
      </c>
      <c r="V38" s="77">
        <f t="shared" si="16"/>
        <v>0</v>
      </c>
      <c r="W38" s="78">
        <f t="shared" si="17"/>
        <v>0</v>
      </c>
    </row>
    <row r="39" spans="2:23" s="5" customFormat="1" ht="16.5" customHeight="1" x14ac:dyDescent="0.35">
      <c r="B39" s="4"/>
      <c r="C39" s="38" t="s">
        <v>149</v>
      </c>
      <c r="D39" s="38" t="s">
        <v>193</v>
      </c>
      <c r="E39" s="39" t="s">
        <v>307</v>
      </c>
      <c r="F39" s="40" t="s">
        <v>308</v>
      </c>
      <c r="G39" s="41" t="s">
        <v>120</v>
      </c>
      <c r="H39" s="42">
        <v>7.5</v>
      </c>
      <c r="I39" s="42">
        <v>7.5</v>
      </c>
      <c r="J39" s="43">
        <v>16.71</v>
      </c>
      <c r="K39" s="44">
        <f t="shared" si="10"/>
        <v>125.33</v>
      </c>
      <c r="L39" s="90">
        <f t="shared" si="1"/>
        <v>125.325</v>
      </c>
      <c r="M39" s="90">
        <v>0</v>
      </c>
      <c r="N39" s="70">
        <v>7.5</v>
      </c>
      <c r="O39" s="71">
        <f t="shared" si="2"/>
        <v>125.325</v>
      </c>
      <c r="P39" s="72"/>
      <c r="Q39" s="73">
        <f t="shared" si="11"/>
        <v>0</v>
      </c>
      <c r="R39" s="70">
        <f t="shared" si="12"/>
        <v>7.5</v>
      </c>
      <c r="S39" s="74">
        <f t="shared" si="13"/>
        <v>125.325</v>
      </c>
      <c r="T39" s="75">
        <f t="shared" si="14"/>
        <v>0.99996010532195012</v>
      </c>
      <c r="U39" s="76">
        <f t="shared" si="15"/>
        <v>0</v>
      </c>
      <c r="V39" s="77">
        <f t="shared" si="16"/>
        <v>0</v>
      </c>
      <c r="W39" s="78">
        <f t="shared" si="17"/>
        <v>0</v>
      </c>
    </row>
    <row r="40" spans="2:23" s="5" customFormat="1" ht="24.15" customHeight="1" x14ac:dyDescent="0.35">
      <c r="B40" s="4"/>
      <c r="C40" s="28" t="s">
        <v>151</v>
      </c>
      <c r="D40" s="28" t="s">
        <v>32</v>
      </c>
      <c r="E40" s="29" t="s">
        <v>309</v>
      </c>
      <c r="F40" s="30" t="s">
        <v>310</v>
      </c>
      <c r="G40" s="31" t="s">
        <v>272</v>
      </c>
      <c r="H40" s="32">
        <v>5</v>
      </c>
      <c r="I40" s="32">
        <v>5</v>
      </c>
      <c r="J40" s="33">
        <v>66.849999999999994</v>
      </c>
      <c r="K40" s="34">
        <f t="shared" si="10"/>
        <v>334.25</v>
      </c>
      <c r="L40" s="90">
        <f t="shared" si="1"/>
        <v>334.25</v>
      </c>
      <c r="M40" s="90">
        <v>0</v>
      </c>
      <c r="N40" s="70">
        <v>5</v>
      </c>
      <c r="O40" s="71">
        <f t="shared" si="2"/>
        <v>334.25</v>
      </c>
      <c r="P40" s="72"/>
      <c r="Q40" s="73">
        <f t="shared" si="11"/>
        <v>0</v>
      </c>
      <c r="R40" s="70">
        <f t="shared" si="12"/>
        <v>5</v>
      </c>
      <c r="S40" s="74">
        <f t="shared" si="13"/>
        <v>334.25</v>
      </c>
      <c r="T40" s="75">
        <f t="shared" si="14"/>
        <v>1</v>
      </c>
      <c r="U40" s="76">
        <f t="shared" si="15"/>
        <v>0</v>
      </c>
      <c r="V40" s="77">
        <f t="shared" si="16"/>
        <v>0</v>
      </c>
      <c r="W40" s="78">
        <f t="shared" si="17"/>
        <v>0</v>
      </c>
    </row>
    <row r="41" spans="2:23" s="5" customFormat="1" ht="24.15" customHeight="1" x14ac:dyDescent="0.35">
      <c r="B41" s="4"/>
      <c r="C41" s="28" t="s">
        <v>155</v>
      </c>
      <c r="D41" s="28" t="s">
        <v>32</v>
      </c>
      <c r="E41" s="29" t="s">
        <v>311</v>
      </c>
      <c r="F41" s="30" t="s">
        <v>312</v>
      </c>
      <c r="G41" s="31" t="s">
        <v>272</v>
      </c>
      <c r="H41" s="32">
        <v>5</v>
      </c>
      <c r="I41" s="32">
        <v>5</v>
      </c>
      <c r="J41" s="33">
        <v>1671.32</v>
      </c>
      <c r="K41" s="34">
        <f t="shared" si="10"/>
        <v>8356.6</v>
      </c>
      <c r="L41" s="90">
        <f t="shared" si="1"/>
        <v>8356.6</v>
      </c>
      <c r="M41" s="90">
        <v>0</v>
      </c>
      <c r="N41" s="70">
        <v>5</v>
      </c>
      <c r="O41" s="71">
        <f t="shared" si="2"/>
        <v>8356.6</v>
      </c>
      <c r="P41" s="72"/>
      <c r="Q41" s="73">
        <f t="shared" si="11"/>
        <v>0</v>
      </c>
      <c r="R41" s="70">
        <f t="shared" si="12"/>
        <v>5</v>
      </c>
      <c r="S41" s="74">
        <f t="shared" si="13"/>
        <v>8356.6</v>
      </c>
      <c r="T41" s="75">
        <f t="shared" si="14"/>
        <v>1</v>
      </c>
      <c r="U41" s="76">
        <f t="shared" si="15"/>
        <v>0</v>
      </c>
      <c r="V41" s="77">
        <f t="shared" si="16"/>
        <v>0</v>
      </c>
      <c r="W41" s="78">
        <f t="shared" si="17"/>
        <v>0</v>
      </c>
    </row>
    <row r="42" spans="2:23" s="5" customFormat="1" ht="24.15" customHeight="1" x14ac:dyDescent="0.35">
      <c r="B42" s="4"/>
      <c r="C42" s="28" t="s">
        <v>157</v>
      </c>
      <c r="D42" s="28" t="s">
        <v>32</v>
      </c>
      <c r="E42" s="29" t="s">
        <v>313</v>
      </c>
      <c r="F42" s="30" t="s">
        <v>314</v>
      </c>
      <c r="G42" s="31" t="s">
        <v>272</v>
      </c>
      <c r="H42" s="32">
        <v>8</v>
      </c>
      <c r="I42" s="32">
        <v>8</v>
      </c>
      <c r="J42" s="33">
        <v>467.97</v>
      </c>
      <c r="K42" s="34">
        <f t="shared" si="10"/>
        <v>3743.76</v>
      </c>
      <c r="L42" s="90">
        <f t="shared" si="1"/>
        <v>3743.76</v>
      </c>
      <c r="M42" s="90">
        <v>0</v>
      </c>
      <c r="N42" s="70">
        <v>8</v>
      </c>
      <c r="O42" s="71">
        <f t="shared" si="2"/>
        <v>3743.76</v>
      </c>
      <c r="P42" s="72"/>
      <c r="Q42" s="73">
        <f t="shared" si="11"/>
        <v>0</v>
      </c>
      <c r="R42" s="70">
        <f t="shared" si="12"/>
        <v>8</v>
      </c>
      <c r="S42" s="74">
        <f t="shared" si="13"/>
        <v>3743.76</v>
      </c>
      <c r="T42" s="75">
        <f t="shared" si="14"/>
        <v>1</v>
      </c>
      <c r="U42" s="76">
        <f t="shared" si="15"/>
        <v>0</v>
      </c>
      <c r="V42" s="77">
        <f t="shared" si="16"/>
        <v>0</v>
      </c>
      <c r="W42" s="78">
        <f t="shared" si="17"/>
        <v>0</v>
      </c>
    </row>
    <row r="43" spans="2:23" s="5" customFormat="1" ht="21.75" customHeight="1" x14ac:dyDescent="0.35">
      <c r="B43" s="4"/>
      <c r="C43" s="28" t="s">
        <v>159</v>
      </c>
      <c r="D43" s="28" t="s">
        <v>32</v>
      </c>
      <c r="E43" s="29" t="s">
        <v>315</v>
      </c>
      <c r="F43" s="30" t="s">
        <v>316</v>
      </c>
      <c r="G43" s="31" t="s">
        <v>272</v>
      </c>
      <c r="H43" s="32">
        <v>5</v>
      </c>
      <c r="I43" s="32">
        <v>5</v>
      </c>
      <c r="J43" s="33">
        <v>167.13</v>
      </c>
      <c r="K43" s="34">
        <f t="shared" si="10"/>
        <v>835.65</v>
      </c>
      <c r="L43" s="90">
        <f t="shared" si="1"/>
        <v>835.65</v>
      </c>
      <c r="M43" s="90">
        <v>0</v>
      </c>
      <c r="N43" s="70">
        <v>5</v>
      </c>
      <c r="O43" s="71">
        <f t="shared" si="2"/>
        <v>835.65</v>
      </c>
      <c r="P43" s="72"/>
      <c r="Q43" s="73">
        <f t="shared" si="11"/>
        <v>0</v>
      </c>
      <c r="R43" s="70">
        <f t="shared" si="12"/>
        <v>5</v>
      </c>
      <c r="S43" s="74">
        <f t="shared" si="13"/>
        <v>835.65</v>
      </c>
      <c r="T43" s="75">
        <f t="shared" si="14"/>
        <v>1</v>
      </c>
      <c r="U43" s="76">
        <f t="shared" si="15"/>
        <v>0</v>
      </c>
      <c r="V43" s="77">
        <f t="shared" si="16"/>
        <v>0</v>
      </c>
      <c r="W43" s="78">
        <f t="shared" si="17"/>
        <v>0</v>
      </c>
    </row>
    <row r="44" spans="2:23" s="5" customFormat="1" ht="24.15" customHeight="1" x14ac:dyDescent="0.35">
      <c r="B44" s="4"/>
      <c r="C44" s="28" t="s">
        <v>161</v>
      </c>
      <c r="D44" s="28" t="s">
        <v>32</v>
      </c>
      <c r="E44" s="29" t="s">
        <v>317</v>
      </c>
      <c r="F44" s="30" t="s">
        <v>318</v>
      </c>
      <c r="G44" s="31" t="s">
        <v>272</v>
      </c>
      <c r="H44" s="32">
        <v>8</v>
      </c>
      <c r="I44" s="32">
        <v>8</v>
      </c>
      <c r="J44" s="33">
        <v>66.849999999999994</v>
      </c>
      <c r="K44" s="34">
        <f t="shared" si="10"/>
        <v>534.79999999999995</v>
      </c>
      <c r="L44" s="90">
        <f t="shared" si="1"/>
        <v>534.79999999999995</v>
      </c>
      <c r="M44" s="90">
        <v>0</v>
      </c>
      <c r="N44" s="70">
        <v>8</v>
      </c>
      <c r="O44" s="71">
        <f t="shared" si="2"/>
        <v>534.79999999999995</v>
      </c>
      <c r="P44" s="72"/>
      <c r="Q44" s="73">
        <f t="shared" si="11"/>
        <v>0</v>
      </c>
      <c r="R44" s="70">
        <f t="shared" si="12"/>
        <v>8</v>
      </c>
      <c r="S44" s="74">
        <f t="shared" si="13"/>
        <v>534.79999999999995</v>
      </c>
      <c r="T44" s="75">
        <f t="shared" si="14"/>
        <v>1</v>
      </c>
      <c r="U44" s="76">
        <f t="shared" si="15"/>
        <v>0</v>
      </c>
      <c r="V44" s="77">
        <f t="shared" si="16"/>
        <v>0</v>
      </c>
      <c r="W44" s="78">
        <f t="shared" si="17"/>
        <v>0</v>
      </c>
    </row>
    <row r="45" spans="2:23" s="5" customFormat="1" ht="33" customHeight="1" x14ac:dyDescent="0.35">
      <c r="B45" s="4"/>
      <c r="C45" s="28" t="s">
        <v>163</v>
      </c>
      <c r="D45" s="28" t="s">
        <v>32</v>
      </c>
      <c r="E45" s="29" t="s">
        <v>319</v>
      </c>
      <c r="F45" s="30" t="s">
        <v>320</v>
      </c>
      <c r="G45" s="31" t="s">
        <v>272</v>
      </c>
      <c r="H45" s="32">
        <v>5</v>
      </c>
      <c r="I45" s="32">
        <v>5</v>
      </c>
      <c r="J45" s="33">
        <v>200.56</v>
      </c>
      <c r="K45" s="34">
        <f t="shared" si="10"/>
        <v>1002.8</v>
      </c>
      <c r="L45" s="90">
        <f t="shared" si="1"/>
        <v>1002.8</v>
      </c>
      <c r="M45" s="90">
        <v>0</v>
      </c>
      <c r="N45" s="70">
        <v>5</v>
      </c>
      <c r="O45" s="71">
        <f t="shared" si="2"/>
        <v>1002.8</v>
      </c>
      <c r="P45" s="72"/>
      <c r="Q45" s="73">
        <f t="shared" si="11"/>
        <v>0</v>
      </c>
      <c r="R45" s="70">
        <f t="shared" si="12"/>
        <v>5</v>
      </c>
      <c r="S45" s="74">
        <f t="shared" si="13"/>
        <v>1002.8</v>
      </c>
      <c r="T45" s="75">
        <f t="shared" si="14"/>
        <v>1</v>
      </c>
      <c r="U45" s="76">
        <f t="shared" si="15"/>
        <v>0</v>
      </c>
      <c r="V45" s="77">
        <f t="shared" si="16"/>
        <v>0</v>
      </c>
      <c r="W45" s="78">
        <f t="shared" si="17"/>
        <v>0</v>
      </c>
    </row>
    <row r="46" spans="2:23" s="5" customFormat="1" ht="16.5" customHeight="1" x14ac:dyDescent="0.35">
      <c r="B46" s="4"/>
      <c r="C46" s="38" t="s">
        <v>166</v>
      </c>
      <c r="D46" s="38" t="s">
        <v>193</v>
      </c>
      <c r="E46" s="39" t="s">
        <v>321</v>
      </c>
      <c r="F46" s="40" t="s">
        <v>322</v>
      </c>
      <c r="G46" s="41" t="s">
        <v>323</v>
      </c>
      <c r="H46" s="42">
        <v>2.125</v>
      </c>
      <c r="I46" s="42">
        <v>2.125</v>
      </c>
      <c r="J46" s="43">
        <v>1002.79</v>
      </c>
      <c r="K46" s="44">
        <f t="shared" si="10"/>
        <v>2130.9299999999998</v>
      </c>
      <c r="L46" s="90">
        <f t="shared" si="1"/>
        <v>2130.92875</v>
      </c>
      <c r="M46" s="90">
        <v>0</v>
      </c>
      <c r="N46" s="70">
        <v>2.125</v>
      </c>
      <c r="O46" s="71">
        <f t="shared" si="2"/>
        <v>2130.92875</v>
      </c>
      <c r="P46" s="72"/>
      <c r="Q46" s="73">
        <f t="shared" si="11"/>
        <v>0</v>
      </c>
      <c r="R46" s="70">
        <f t="shared" si="12"/>
        <v>2.125</v>
      </c>
      <c r="S46" s="74">
        <f t="shared" si="13"/>
        <v>2130.92875</v>
      </c>
      <c r="T46" s="75">
        <f t="shared" si="14"/>
        <v>0.99999941340166043</v>
      </c>
      <c r="U46" s="76">
        <f t="shared" si="15"/>
        <v>0</v>
      </c>
      <c r="V46" s="77">
        <f t="shared" si="16"/>
        <v>0</v>
      </c>
      <c r="W46" s="78">
        <f t="shared" si="17"/>
        <v>0</v>
      </c>
    </row>
    <row r="47" spans="2:23" s="5" customFormat="1" ht="24.15" customHeight="1" x14ac:dyDescent="0.35">
      <c r="B47" s="4"/>
      <c r="C47" s="28" t="s">
        <v>169</v>
      </c>
      <c r="D47" s="28" t="s">
        <v>32</v>
      </c>
      <c r="E47" s="29" t="s">
        <v>324</v>
      </c>
      <c r="F47" s="30" t="s">
        <v>325</v>
      </c>
      <c r="G47" s="31" t="s">
        <v>207</v>
      </c>
      <c r="H47" s="32">
        <v>13</v>
      </c>
      <c r="I47" s="32">
        <v>13</v>
      </c>
      <c r="J47" s="33">
        <v>60.17</v>
      </c>
      <c r="K47" s="34">
        <f t="shared" si="10"/>
        <v>782.21</v>
      </c>
      <c r="L47" s="90">
        <f t="shared" si="1"/>
        <v>782.21</v>
      </c>
      <c r="M47" s="90">
        <v>0</v>
      </c>
      <c r="N47" s="70">
        <v>13</v>
      </c>
      <c r="O47" s="71">
        <f t="shared" si="2"/>
        <v>782.21</v>
      </c>
      <c r="P47" s="72"/>
      <c r="Q47" s="73">
        <f t="shared" si="11"/>
        <v>0</v>
      </c>
      <c r="R47" s="70">
        <f t="shared" si="12"/>
        <v>13</v>
      </c>
      <c r="S47" s="74">
        <f t="shared" si="13"/>
        <v>782.21</v>
      </c>
      <c r="T47" s="75">
        <f t="shared" si="14"/>
        <v>1</v>
      </c>
      <c r="U47" s="76">
        <f t="shared" si="15"/>
        <v>0</v>
      </c>
      <c r="V47" s="77">
        <f t="shared" si="16"/>
        <v>0</v>
      </c>
      <c r="W47" s="78">
        <f t="shared" si="17"/>
        <v>0</v>
      </c>
    </row>
    <row r="48" spans="2:23" s="5" customFormat="1" ht="16.5" customHeight="1" x14ac:dyDescent="0.35">
      <c r="B48" s="4"/>
      <c r="C48" s="38" t="s">
        <v>170</v>
      </c>
      <c r="D48" s="38" t="s">
        <v>193</v>
      </c>
      <c r="E48" s="39" t="s">
        <v>326</v>
      </c>
      <c r="F48" s="40" t="s">
        <v>327</v>
      </c>
      <c r="G48" s="41" t="s">
        <v>214</v>
      </c>
      <c r="H48" s="42">
        <v>1.3</v>
      </c>
      <c r="I48" s="42">
        <v>1.3</v>
      </c>
      <c r="J48" s="43">
        <v>1671.32</v>
      </c>
      <c r="K48" s="44">
        <f t="shared" si="10"/>
        <v>2172.7199999999998</v>
      </c>
      <c r="L48" s="90">
        <f t="shared" si="1"/>
        <v>2172.7159999999999</v>
      </c>
      <c r="M48" s="90">
        <v>0</v>
      </c>
      <c r="N48" s="70">
        <v>1.3</v>
      </c>
      <c r="O48" s="71">
        <f t="shared" si="2"/>
        <v>2172.7159999999999</v>
      </c>
      <c r="P48" s="72"/>
      <c r="Q48" s="73">
        <f t="shared" si="11"/>
        <v>0</v>
      </c>
      <c r="R48" s="70">
        <f t="shared" si="12"/>
        <v>1.3</v>
      </c>
      <c r="S48" s="74">
        <f t="shared" si="13"/>
        <v>2172.7159999999999</v>
      </c>
      <c r="T48" s="75">
        <f t="shared" si="14"/>
        <v>0.99999815898965361</v>
      </c>
      <c r="U48" s="76">
        <f t="shared" si="15"/>
        <v>0</v>
      </c>
      <c r="V48" s="77">
        <f t="shared" si="16"/>
        <v>0</v>
      </c>
      <c r="W48" s="78">
        <f t="shared" si="17"/>
        <v>0</v>
      </c>
    </row>
    <row r="49" spans="2:23" s="5" customFormat="1" ht="24.15" customHeight="1" x14ac:dyDescent="0.35">
      <c r="B49" s="4"/>
      <c r="C49" s="28" t="s">
        <v>171</v>
      </c>
      <c r="D49" s="28" t="s">
        <v>32</v>
      </c>
      <c r="E49" s="29" t="s">
        <v>328</v>
      </c>
      <c r="F49" s="30" t="s">
        <v>329</v>
      </c>
      <c r="G49" s="31" t="s">
        <v>223</v>
      </c>
      <c r="H49" s="32">
        <v>0.02</v>
      </c>
      <c r="I49" s="32">
        <v>0.02</v>
      </c>
      <c r="J49" s="33">
        <v>46797.08</v>
      </c>
      <c r="K49" s="34">
        <f t="shared" si="10"/>
        <v>935.94</v>
      </c>
      <c r="L49" s="90">
        <f t="shared" si="1"/>
        <v>935.94160000000011</v>
      </c>
      <c r="M49" s="90">
        <v>0</v>
      </c>
      <c r="N49" s="70">
        <v>0.02</v>
      </c>
      <c r="O49" s="71">
        <f t="shared" si="2"/>
        <v>935.94160000000011</v>
      </c>
      <c r="P49" s="72"/>
      <c r="Q49" s="73">
        <f t="shared" si="11"/>
        <v>0</v>
      </c>
      <c r="R49" s="70">
        <f t="shared" si="12"/>
        <v>0.02</v>
      </c>
      <c r="S49" s="74">
        <f t="shared" si="13"/>
        <v>935.94160000000011</v>
      </c>
      <c r="T49" s="75">
        <f t="shared" si="14"/>
        <v>1.0000017095112934</v>
      </c>
      <c r="U49" s="76">
        <f t="shared" si="15"/>
        <v>0</v>
      </c>
      <c r="V49" s="77">
        <f t="shared" si="16"/>
        <v>0</v>
      </c>
      <c r="W49" s="78">
        <f t="shared" si="17"/>
        <v>0</v>
      </c>
    </row>
    <row r="50" spans="2:23" s="5" customFormat="1" ht="24.15" customHeight="1" x14ac:dyDescent="0.35">
      <c r="B50" s="4"/>
      <c r="C50" s="38" t="s">
        <v>172</v>
      </c>
      <c r="D50" s="38" t="s">
        <v>193</v>
      </c>
      <c r="E50" s="39" t="s">
        <v>330</v>
      </c>
      <c r="F50" s="40" t="s">
        <v>331</v>
      </c>
      <c r="G50" s="41" t="s">
        <v>73</v>
      </c>
      <c r="H50" s="42">
        <v>82</v>
      </c>
      <c r="I50" s="42">
        <v>82</v>
      </c>
      <c r="J50" s="43">
        <v>2.67</v>
      </c>
      <c r="K50" s="44">
        <f t="shared" si="10"/>
        <v>218.94</v>
      </c>
      <c r="L50" s="90">
        <f t="shared" si="1"/>
        <v>218.94</v>
      </c>
      <c r="M50" s="90">
        <v>0</v>
      </c>
      <c r="N50" s="70">
        <v>82</v>
      </c>
      <c r="O50" s="71">
        <f t="shared" si="2"/>
        <v>218.94</v>
      </c>
      <c r="P50" s="72"/>
      <c r="Q50" s="73">
        <f t="shared" si="11"/>
        <v>0</v>
      </c>
      <c r="R50" s="70">
        <f t="shared" si="12"/>
        <v>82</v>
      </c>
      <c r="S50" s="74">
        <f t="shared" si="13"/>
        <v>218.94</v>
      </c>
      <c r="T50" s="75">
        <f t="shared" si="14"/>
        <v>1</v>
      </c>
      <c r="U50" s="76">
        <f t="shared" si="15"/>
        <v>0</v>
      </c>
      <c r="V50" s="77">
        <f t="shared" si="16"/>
        <v>0</v>
      </c>
      <c r="W50" s="78">
        <f t="shared" si="17"/>
        <v>0</v>
      </c>
    </row>
    <row r="51" spans="2:23" s="5" customFormat="1" ht="16.5" customHeight="1" x14ac:dyDescent="0.35">
      <c r="B51" s="4"/>
      <c r="C51" s="38" t="s">
        <v>173</v>
      </c>
      <c r="D51" s="38" t="s">
        <v>193</v>
      </c>
      <c r="E51" s="39" t="s">
        <v>332</v>
      </c>
      <c r="F51" s="40" t="s">
        <v>333</v>
      </c>
      <c r="G51" s="41" t="s">
        <v>323</v>
      </c>
      <c r="H51" s="42">
        <v>1.55</v>
      </c>
      <c r="I51" s="42">
        <v>1.55</v>
      </c>
      <c r="J51" s="43">
        <v>601.67999999999995</v>
      </c>
      <c r="K51" s="44">
        <f t="shared" si="10"/>
        <v>932.6</v>
      </c>
      <c r="L51" s="90">
        <f t="shared" si="1"/>
        <v>932.60399999999993</v>
      </c>
      <c r="M51" s="90">
        <v>0</v>
      </c>
      <c r="N51" s="70">
        <v>1.55</v>
      </c>
      <c r="O51" s="71">
        <f t="shared" si="2"/>
        <v>932.60399999999993</v>
      </c>
      <c r="P51" s="72"/>
      <c r="Q51" s="73">
        <f t="shared" si="11"/>
        <v>0</v>
      </c>
      <c r="R51" s="70">
        <f t="shared" si="12"/>
        <v>1.55</v>
      </c>
      <c r="S51" s="74">
        <f t="shared" si="13"/>
        <v>932.60399999999993</v>
      </c>
      <c r="T51" s="75">
        <f t="shared" si="14"/>
        <v>1.0000042890842804</v>
      </c>
      <c r="U51" s="76">
        <f t="shared" si="15"/>
        <v>0</v>
      </c>
      <c r="V51" s="77">
        <f t="shared" si="16"/>
        <v>0</v>
      </c>
      <c r="W51" s="78">
        <f t="shared" si="17"/>
        <v>0</v>
      </c>
    </row>
    <row r="52" spans="2:23" s="5" customFormat="1" ht="16.5" customHeight="1" x14ac:dyDescent="0.35">
      <c r="B52" s="4"/>
      <c r="C52" s="28" t="s">
        <v>178</v>
      </c>
      <c r="D52" s="28" t="s">
        <v>32</v>
      </c>
      <c r="E52" s="29" t="s">
        <v>334</v>
      </c>
      <c r="F52" s="30" t="s">
        <v>335</v>
      </c>
      <c r="G52" s="31" t="s">
        <v>214</v>
      </c>
      <c r="H52" s="32">
        <v>0.66</v>
      </c>
      <c r="I52" s="32">
        <v>0.66</v>
      </c>
      <c r="J52" s="33">
        <v>467.97</v>
      </c>
      <c r="K52" s="34">
        <f t="shared" si="10"/>
        <v>308.86</v>
      </c>
      <c r="L52" s="90">
        <f t="shared" si="1"/>
        <v>308.86020000000002</v>
      </c>
      <c r="M52" s="90">
        <v>0</v>
      </c>
      <c r="N52" s="70">
        <v>0.66</v>
      </c>
      <c r="O52" s="71">
        <f t="shared" si="2"/>
        <v>308.86020000000002</v>
      </c>
      <c r="P52" s="72"/>
      <c r="Q52" s="73">
        <f t="shared" si="11"/>
        <v>0</v>
      </c>
      <c r="R52" s="70">
        <f t="shared" si="12"/>
        <v>0.66</v>
      </c>
      <c r="S52" s="74">
        <f t="shared" si="13"/>
        <v>308.86020000000002</v>
      </c>
      <c r="T52" s="75">
        <f t="shared" si="14"/>
        <v>1.000000647542576</v>
      </c>
      <c r="U52" s="76">
        <f t="shared" si="15"/>
        <v>0</v>
      </c>
      <c r="V52" s="77">
        <f t="shared" si="16"/>
        <v>0</v>
      </c>
      <c r="W52" s="78">
        <f t="shared" si="17"/>
        <v>0</v>
      </c>
    </row>
    <row r="53" spans="2:23" s="5" customFormat="1" ht="21.75" customHeight="1" x14ac:dyDescent="0.35">
      <c r="B53" s="4"/>
      <c r="C53" s="28" t="s">
        <v>181</v>
      </c>
      <c r="D53" s="28" t="s">
        <v>32</v>
      </c>
      <c r="E53" s="29" t="s">
        <v>336</v>
      </c>
      <c r="F53" s="30" t="s">
        <v>337</v>
      </c>
      <c r="G53" s="31" t="s">
        <v>214</v>
      </c>
      <c r="H53" s="32">
        <v>0.66</v>
      </c>
      <c r="I53" s="32">
        <v>0.66</v>
      </c>
      <c r="J53" s="33">
        <v>334.26</v>
      </c>
      <c r="K53" s="34">
        <f t="shared" si="10"/>
        <v>220.61</v>
      </c>
      <c r="L53" s="90">
        <f t="shared" si="1"/>
        <v>220.61160000000001</v>
      </c>
      <c r="M53" s="90">
        <v>0</v>
      </c>
      <c r="N53" s="70">
        <v>0.66</v>
      </c>
      <c r="O53" s="71">
        <f t="shared" si="2"/>
        <v>220.61160000000001</v>
      </c>
      <c r="P53" s="72"/>
      <c r="Q53" s="73">
        <f t="shared" si="11"/>
        <v>0</v>
      </c>
      <c r="R53" s="70">
        <f t="shared" si="12"/>
        <v>0.66</v>
      </c>
      <c r="S53" s="74">
        <f t="shared" si="13"/>
        <v>220.61160000000001</v>
      </c>
      <c r="T53" s="75">
        <f t="shared" si="14"/>
        <v>1.0000072526177417</v>
      </c>
      <c r="U53" s="76">
        <f t="shared" si="15"/>
        <v>0</v>
      </c>
      <c r="V53" s="77">
        <f t="shared" si="16"/>
        <v>0</v>
      </c>
      <c r="W53" s="78">
        <f t="shared" si="17"/>
        <v>0</v>
      </c>
    </row>
    <row r="54" spans="2:23" s="5" customFormat="1" ht="16.5" customHeight="1" x14ac:dyDescent="0.35">
      <c r="B54" s="4"/>
      <c r="C54" s="38" t="s">
        <v>184</v>
      </c>
      <c r="D54" s="38" t="s">
        <v>193</v>
      </c>
      <c r="E54" s="39" t="s">
        <v>338</v>
      </c>
      <c r="F54" s="40" t="s">
        <v>339</v>
      </c>
      <c r="G54" s="41" t="s">
        <v>214</v>
      </c>
      <c r="H54" s="42">
        <v>0.66</v>
      </c>
      <c r="I54" s="42">
        <v>0.66</v>
      </c>
      <c r="J54" s="43">
        <v>167.13</v>
      </c>
      <c r="K54" s="44">
        <f t="shared" si="10"/>
        <v>110.31</v>
      </c>
      <c r="L54" s="90">
        <f t="shared" si="1"/>
        <v>110.3058</v>
      </c>
      <c r="M54" s="90">
        <v>0</v>
      </c>
      <c r="N54" s="70">
        <v>0.66</v>
      </c>
      <c r="O54" s="71">
        <f t="shared" si="2"/>
        <v>110.3058</v>
      </c>
      <c r="P54" s="72"/>
      <c r="Q54" s="73">
        <f t="shared" si="11"/>
        <v>0</v>
      </c>
      <c r="R54" s="70">
        <f t="shared" si="12"/>
        <v>0.66</v>
      </c>
      <c r="S54" s="74">
        <f t="shared" si="13"/>
        <v>110.3058</v>
      </c>
      <c r="T54" s="75">
        <f t="shared" si="14"/>
        <v>0.99996192548273055</v>
      </c>
      <c r="U54" s="76">
        <f t="shared" si="15"/>
        <v>0</v>
      </c>
      <c r="V54" s="77">
        <f t="shared" si="16"/>
        <v>0</v>
      </c>
      <c r="W54" s="78">
        <f t="shared" si="17"/>
        <v>0</v>
      </c>
    </row>
    <row r="55" spans="2:23" s="23" customFormat="1" ht="23" customHeight="1" x14ac:dyDescent="0.25">
      <c r="B55" s="22"/>
      <c r="D55" s="24" t="s">
        <v>27</v>
      </c>
      <c r="E55" s="36" t="s">
        <v>340</v>
      </c>
      <c r="F55" s="36" t="s">
        <v>341</v>
      </c>
      <c r="J55" s="26"/>
      <c r="K55" s="37">
        <f>SUM(K56:K61)</f>
        <v>32926.92</v>
      </c>
      <c r="L55" s="37">
        <f>SUM(L56:L61)</f>
        <v>32926.92</v>
      </c>
      <c r="M55" s="90">
        <v>0</v>
      </c>
      <c r="O55" s="37">
        <f>SUM(O56:O61)</f>
        <v>32926.92</v>
      </c>
      <c r="Q55" s="37">
        <f>SUM(Q56:Q61)</f>
        <v>0</v>
      </c>
      <c r="S55" s="37">
        <f>SUM(S56:S61)</f>
        <v>32926.92</v>
      </c>
      <c r="V55" s="37">
        <f>SUM(V56:V61)</f>
        <v>0</v>
      </c>
    </row>
    <row r="56" spans="2:23" s="5" customFormat="1" ht="24.15" customHeight="1" x14ac:dyDescent="0.35">
      <c r="B56" s="4"/>
      <c r="C56" s="28" t="s">
        <v>187</v>
      </c>
      <c r="D56" s="28" t="s">
        <v>32</v>
      </c>
      <c r="E56" s="29" t="s">
        <v>342</v>
      </c>
      <c r="F56" s="30" t="s">
        <v>343</v>
      </c>
      <c r="G56" s="31" t="s">
        <v>272</v>
      </c>
      <c r="H56" s="32">
        <v>1</v>
      </c>
      <c r="I56" s="32">
        <v>1</v>
      </c>
      <c r="J56" s="33">
        <v>3342.65</v>
      </c>
      <c r="K56" s="34">
        <f t="shared" ref="K56:K61" si="18">ROUND(J56*H56,2)</f>
        <v>3342.65</v>
      </c>
      <c r="L56" s="90">
        <f t="shared" si="1"/>
        <v>3342.65</v>
      </c>
      <c r="M56" s="90">
        <v>0</v>
      </c>
      <c r="N56" s="70">
        <v>1</v>
      </c>
      <c r="O56" s="71">
        <f t="shared" si="2"/>
        <v>3342.65</v>
      </c>
      <c r="P56" s="72"/>
      <c r="Q56" s="73">
        <f t="shared" ref="Q56:Q61" si="19">P56*J56</f>
        <v>0</v>
      </c>
      <c r="R56" s="70">
        <f t="shared" ref="R56:R61" si="20">P56+N56</f>
        <v>1</v>
      </c>
      <c r="S56" s="74">
        <f t="shared" ref="S56:S61" si="21">R56*J56</f>
        <v>3342.65</v>
      </c>
      <c r="T56" s="75">
        <f t="shared" ref="T56:T61" si="22">S56/K56</f>
        <v>1</v>
      </c>
      <c r="U56" s="76">
        <f t="shared" ref="U56:U61" si="23">H56-R56</f>
        <v>0</v>
      </c>
      <c r="V56" s="77">
        <f t="shared" ref="V56:V61" si="24">U56*J56</f>
        <v>0</v>
      </c>
      <c r="W56" s="78">
        <f t="shared" ref="W56:W61" si="25">U56/H56</f>
        <v>0</v>
      </c>
    </row>
    <row r="57" spans="2:23" s="5" customFormat="1" ht="21.75" customHeight="1" x14ac:dyDescent="0.35">
      <c r="B57" s="4"/>
      <c r="C57" s="38" t="s">
        <v>190</v>
      </c>
      <c r="D57" s="38" t="s">
        <v>193</v>
      </c>
      <c r="E57" s="39" t="s">
        <v>344</v>
      </c>
      <c r="F57" s="40" t="s">
        <v>345</v>
      </c>
      <c r="G57" s="41" t="s">
        <v>346</v>
      </c>
      <c r="H57" s="42">
        <v>4</v>
      </c>
      <c r="I57" s="42">
        <v>4</v>
      </c>
      <c r="J57" s="43">
        <v>4019.99</v>
      </c>
      <c r="K57" s="44">
        <f t="shared" si="18"/>
        <v>16079.96</v>
      </c>
      <c r="L57" s="90">
        <f t="shared" si="1"/>
        <v>16079.96</v>
      </c>
      <c r="M57" s="90">
        <v>0</v>
      </c>
      <c r="N57" s="70">
        <v>4</v>
      </c>
      <c r="O57" s="71">
        <f t="shared" si="2"/>
        <v>16079.96</v>
      </c>
      <c r="P57" s="72"/>
      <c r="Q57" s="73">
        <f t="shared" si="19"/>
        <v>0</v>
      </c>
      <c r="R57" s="70">
        <f t="shared" si="20"/>
        <v>4</v>
      </c>
      <c r="S57" s="74">
        <f t="shared" si="21"/>
        <v>16079.96</v>
      </c>
      <c r="T57" s="75">
        <f t="shared" si="22"/>
        <v>1</v>
      </c>
      <c r="U57" s="76">
        <f t="shared" si="23"/>
        <v>0</v>
      </c>
      <c r="V57" s="77">
        <f t="shared" si="24"/>
        <v>0</v>
      </c>
      <c r="W57" s="78">
        <f t="shared" si="25"/>
        <v>0</v>
      </c>
    </row>
    <row r="58" spans="2:23" s="5" customFormat="1" ht="24.15" customHeight="1" x14ac:dyDescent="0.35">
      <c r="B58" s="4"/>
      <c r="C58" s="28" t="s">
        <v>195</v>
      </c>
      <c r="D58" s="28" t="s">
        <v>32</v>
      </c>
      <c r="E58" s="29" t="s">
        <v>347</v>
      </c>
      <c r="F58" s="30" t="s">
        <v>348</v>
      </c>
      <c r="G58" s="31" t="s">
        <v>272</v>
      </c>
      <c r="H58" s="32">
        <v>1</v>
      </c>
      <c r="I58" s="32">
        <v>1</v>
      </c>
      <c r="J58" s="33">
        <v>601.67999999999995</v>
      </c>
      <c r="K58" s="34">
        <f t="shared" si="18"/>
        <v>601.67999999999995</v>
      </c>
      <c r="L58" s="90">
        <f t="shared" si="1"/>
        <v>601.67999999999995</v>
      </c>
      <c r="M58" s="90">
        <v>0</v>
      </c>
      <c r="N58" s="70">
        <v>1</v>
      </c>
      <c r="O58" s="71">
        <f t="shared" si="2"/>
        <v>601.67999999999995</v>
      </c>
      <c r="P58" s="72"/>
      <c r="Q58" s="73">
        <f t="shared" si="19"/>
        <v>0</v>
      </c>
      <c r="R58" s="70">
        <f t="shared" si="20"/>
        <v>1</v>
      </c>
      <c r="S58" s="74">
        <f t="shared" si="21"/>
        <v>601.67999999999995</v>
      </c>
      <c r="T58" s="75">
        <f t="shared" si="22"/>
        <v>1</v>
      </c>
      <c r="U58" s="76">
        <f t="shared" si="23"/>
        <v>0</v>
      </c>
      <c r="V58" s="77">
        <f t="shared" si="24"/>
        <v>0</v>
      </c>
      <c r="W58" s="78">
        <f t="shared" si="25"/>
        <v>0</v>
      </c>
    </row>
    <row r="59" spans="2:23" s="5" customFormat="1" ht="24.15" customHeight="1" x14ac:dyDescent="0.35">
      <c r="B59" s="4"/>
      <c r="C59" s="28" t="s">
        <v>198</v>
      </c>
      <c r="D59" s="28" t="s">
        <v>32</v>
      </c>
      <c r="E59" s="29" t="s">
        <v>349</v>
      </c>
      <c r="F59" s="30" t="s">
        <v>350</v>
      </c>
      <c r="G59" s="31" t="s">
        <v>272</v>
      </c>
      <c r="H59" s="32">
        <v>1</v>
      </c>
      <c r="I59" s="32">
        <v>1</v>
      </c>
      <c r="J59" s="33">
        <v>869.09</v>
      </c>
      <c r="K59" s="34">
        <f t="shared" si="18"/>
        <v>869.09</v>
      </c>
      <c r="L59" s="90">
        <f t="shared" si="1"/>
        <v>869.09</v>
      </c>
      <c r="M59" s="90">
        <v>0</v>
      </c>
      <c r="N59" s="70">
        <v>1</v>
      </c>
      <c r="O59" s="71">
        <f t="shared" si="2"/>
        <v>869.09</v>
      </c>
      <c r="P59" s="72"/>
      <c r="Q59" s="73">
        <f t="shared" si="19"/>
        <v>0</v>
      </c>
      <c r="R59" s="70">
        <f t="shared" si="20"/>
        <v>1</v>
      </c>
      <c r="S59" s="74">
        <f t="shared" si="21"/>
        <v>869.09</v>
      </c>
      <c r="T59" s="75">
        <f t="shared" si="22"/>
        <v>1</v>
      </c>
      <c r="U59" s="76">
        <f t="shared" si="23"/>
        <v>0</v>
      </c>
      <c r="V59" s="77">
        <f t="shared" si="24"/>
        <v>0</v>
      </c>
      <c r="W59" s="78">
        <f t="shared" si="25"/>
        <v>0</v>
      </c>
    </row>
    <row r="60" spans="2:23" s="5" customFormat="1" ht="24.15" customHeight="1" x14ac:dyDescent="0.35">
      <c r="B60" s="4"/>
      <c r="C60" s="28" t="s">
        <v>351</v>
      </c>
      <c r="D60" s="28" t="s">
        <v>32</v>
      </c>
      <c r="E60" s="29" t="s">
        <v>352</v>
      </c>
      <c r="F60" s="30" t="s">
        <v>353</v>
      </c>
      <c r="G60" s="31" t="s">
        <v>272</v>
      </c>
      <c r="H60" s="32">
        <v>1</v>
      </c>
      <c r="I60" s="32">
        <v>1</v>
      </c>
      <c r="J60" s="33">
        <v>4679.71</v>
      </c>
      <c r="K60" s="34">
        <f t="shared" si="18"/>
        <v>4679.71</v>
      </c>
      <c r="L60" s="90">
        <f t="shared" si="1"/>
        <v>4679.71</v>
      </c>
      <c r="M60" s="90">
        <v>0</v>
      </c>
      <c r="N60" s="70">
        <v>1</v>
      </c>
      <c r="O60" s="71">
        <f t="shared" si="2"/>
        <v>4679.71</v>
      </c>
      <c r="P60" s="72"/>
      <c r="Q60" s="73">
        <f t="shared" si="19"/>
        <v>0</v>
      </c>
      <c r="R60" s="70">
        <f t="shared" si="20"/>
        <v>1</v>
      </c>
      <c r="S60" s="74">
        <f t="shared" si="21"/>
        <v>4679.71</v>
      </c>
      <c r="T60" s="75">
        <f t="shared" si="22"/>
        <v>1</v>
      </c>
      <c r="U60" s="76">
        <f t="shared" si="23"/>
        <v>0</v>
      </c>
      <c r="V60" s="77">
        <f t="shared" si="24"/>
        <v>0</v>
      </c>
      <c r="W60" s="78">
        <f t="shared" si="25"/>
        <v>0</v>
      </c>
    </row>
    <row r="61" spans="2:23" s="5" customFormat="1" ht="24.15" customHeight="1" x14ac:dyDescent="0.35">
      <c r="B61" s="4"/>
      <c r="C61" s="28" t="s">
        <v>354</v>
      </c>
      <c r="D61" s="28" t="s">
        <v>32</v>
      </c>
      <c r="E61" s="29" t="s">
        <v>355</v>
      </c>
      <c r="F61" s="30" t="s">
        <v>356</v>
      </c>
      <c r="G61" s="31" t="s">
        <v>272</v>
      </c>
      <c r="H61" s="32">
        <v>1</v>
      </c>
      <c r="I61" s="32">
        <v>1</v>
      </c>
      <c r="J61" s="33">
        <v>7353.83</v>
      </c>
      <c r="K61" s="34">
        <f t="shared" si="18"/>
        <v>7353.83</v>
      </c>
      <c r="L61" s="90">
        <f t="shared" si="1"/>
        <v>7353.83</v>
      </c>
      <c r="M61" s="90">
        <v>0</v>
      </c>
      <c r="N61" s="70">
        <v>1</v>
      </c>
      <c r="O61" s="71">
        <f t="shared" si="2"/>
        <v>7353.83</v>
      </c>
      <c r="P61" s="72"/>
      <c r="Q61" s="73">
        <f t="shared" si="19"/>
        <v>0</v>
      </c>
      <c r="R61" s="70">
        <f t="shared" si="20"/>
        <v>1</v>
      </c>
      <c r="S61" s="74">
        <f t="shared" si="21"/>
        <v>7353.83</v>
      </c>
      <c r="T61" s="75">
        <f t="shared" si="22"/>
        <v>1</v>
      </c>
      <c r="U61" s="76">
        <f t="shared" si="23"/>
        <v>0</v>
      </c>
      <c r="V61" s="77">
        <f t="shared" si="24"/>
        <v>0</v>
      </c>
      <c r="W61" s="78">
        <f t="shared" si="25"/>
        <v>0</v>
      </c>
    </row>
    <row r="62" spans="2:23" s="23" customFormat="1" ht="23" customHeight="1" x14ac:dyDescent="0.25">
      <c r="B62" s="22"/>
      <c r="D62" s="24" t="s">
        <v>27</v>
      </c>
      <c r="E62" s="36" t="s">
        <v>357</v>
      </c>
      <c r="F62" s="36" t="s">
        <v>358</v>
      </c>
      <c r="J62" s="26"/>
      <c r="K62" s="37">
        <f>SUM(K63:K64)</f>
        <v>49639.5</v>
      </c>
      <c r="L62" s="37">
        <f>SUM(L63:L64)</f>
        <v>49639.5</v>
      </c>
      <c r="M62" s="90">
        <v>0</v>
      </c>
      <c r="O62" s="37">
        <f>SUM(O63:O64)</f>
        <v>36101.25</v>
      </c>
      <c r="Q62" s="37">
        <f>SUM(Q63:Q64)</f>
        <v>13538.25</v>
      </c>
      <c r="S62" s="37">
        <f>SUM(S63:S64)</f>
        <v>49639.5</v>
      </c>
      <c r="V62" s="37">
        <f>SUM(V63:V64)</f>
        <v>0</v>
      </c>
    </row>
    <row r="63" spans="2:23" s="5" customFormat="1" ht="33" customHeight="1" x14ac:dyDescent="0.35">
      <c r="B63" s="4"/>
      <c r="C63" s="28" t="s">
        <v>359</v>
      </c>
      <c r="D63" s="28" t="s">
        <v>32</v>
      </c>
      <c r="E63" s="29" t="s">
        <v>360</v>
      </c>
      <c r="F63" s="30" t="s">
        <v>361</v>
      </c>
      <c r="G63" s="31" t="s">
        <v>120</v>
      </c>
      <c r="H63" s="32">
        <v>225</v>
      </c>
      <c r="I63" s="32">
        <v>225</v>
      </c>
      <c r="J63" s="33">
        <v>160.44999999999999</v>
      </c>
      <c r="K63" s="34">
        <f>ROUND(J63*H63,2)</f>
        <v>36101.25</v>
      </c>
      <c r="L63" s="90">
        <f t="shared" si="1"/>
        <v>36101.25</v>
      </c>
      <c r="M63" s="90">
        <v>0</v>
      </c>
      <c r="N63" s="70">
        <v>225</v>
      </c>
      <c r="O63" s="71">
        <f t="shared" si="2"/>
        <v>36101.25</v>
      </c>
      <c r="P63" s="72"/>
      <c r="Q63" s="73">
        <f>P63*J63</f>
        <v>0</v>
      </c>
      <c r="R63" s="70">
        <f>P63+N63</f>
        <v>225</v>
      </c>
      <c r="S63" s="74">
        <f>R63*J63</f>
        <v>36101.25</v>
      </c>
      <c r="T63" s="75">
        <f>S63/K63</f>
        <v>1</v>
      </c>
      <c r="U63" s="76">
        <f>H63-R63</f>
        <v>0</v>
      </c>
      <c r="V63" s="77">
        <f>U63*J63</f>
        <v>0</v>
      </c>
      <c r="W63" s="78">
        <f>U63/H63</f>
        <v>0</v>
      </c>
    </row>
    <row r="64" spans="2:23" s="5" customFormat="1" ht="38" customHeight="1" x14ac:dyDescent="0.35">
      <c r="B64" s="4"/>
      <c r="C64" s="28" t="s">
        <v>362</v>
      </c>
      <c r="D64" s="28" t="s">
        <v>32</v>
      </c>
      <c r="E64" s="29" t="s">
        <v>363</v>
      </c>
      <c r="F64" s="30" t="s">
        <v>364</v>
      </c>
      <c r="G64" s="31" t="s">
        <v>120</v>
      </c>
      <c r="H64" s="32">
        <v>225</v>
      </c>
      <c r="I64" s="32">
        <v>225</v>
      </c>
      <c r="J64" s="33">
        <v>60.17</v>
      </c>
      <c r="K64" s="34">
        <f>ROUND(J64*H64,2)</f>
        <v>13538.25</v>
      </c>
      <c r="L64" s="90">
        <f t="shared" si="1"/>
        <v>13538.25</v>
      </c>
      <c r="M64" s="90">
        <v>0</v>
      </c>
      <c r="N64" s="70">
        <v>0</v>
      </c>
      <c r="O64" s="71">
        <f t="shared" si="2"/>
        <v>0</v>
      </c>
      <c r="P64" s="72">
        <v>225</v>
      </c>
      <c r="Q64" s="73">
        <f>P64*J64</f>
        <v>13538.25</v>
      </c>
      <c r="R64" s="70">
        <f>P64+N64</f>
        <v>225</v>
      </c>
      <c r="S64" s="74">
        <f>R64*J64</f>
        <v>13538.25</v>
      </c>
      <c r="T64" s="75">
        <f>S64/K64</f>
        <v>1</v>
      </c>
      <c r="U64" s="76">
        <f>H64-R64</f>
        <v>0</v>
      </c>
      <c r="V64" s="77">
        <f>U64*J64</f>
        <v>0</v>
      </c>
      <c r="W64" s="78">
        <f>U64/H64</f>
        <v>0</v>
      </c>
    </row>
    <row r="65" spans="2:23" s="23" customFormat="1" ht="23" customHeight="1" x14ac:dyDescent="0.25">
      <c r="B65" s="22"/>
      <c r="D65" s="24" t="s">
        <v>27</v>
      </c>
      <c r="E65" s="36" t="s">
        <v>365</v>
      </c>
      <c r="F65" s="36" t="s">
        <v>366</v>
      </c>
      <c r="J65" s="26"/>
      <c r="K65" s="37">
        <f>SUM(K66:K92)</f>
        <v>75719.010000000009</v>
      </c>
      <c r="L65" s="37">
        <f>SUM(L66:L92)</f>
        <v>75718.994139999995</v>
      </c>
      <c r="M65" s="90">
        <v>0</v>
      </c>
      <c r="O65" s="37">
        <f>SUM(O66:O92)</f>
        <v>0</v>
      </c>
      <c r="Q65" s="37">
        <f>SUM(Q66:Q92)</f>
        <v>0</v>
      </c>
      <c r="S65" s="37">
        <f>SUM(S66:S92)</f>
        <v>0</v>
      </c>
      <c r="V65" s="37">
        <f>SUM(V66:V92)</f>
        <v>75718.994139999995</v>
      </c>
    </row>
    <row r="66" spans="2:23" s="5" customFormat="1" ht="33" customHeight="1" x14ac:dyDescent="0.35">
      <c r="B66" s="4"/>
      <c r="C66" s="28" t="s">
        <v>367</v>
      </c>
      <c r="D66" s="28" t="s">
        <v>32</v>
      </c>
      <c r="E66" s="29" t="s">
        <v>293</v>
      </c>
      <c r="F66" s="30" t="s">
        <v>294</v>
      </c>
      <c r="G66" s="31" t="s">
        <v>272</v>
      </c>
      <c r="H66" s="32">
        <v>1</v>
      </c>
      <c r="I66" s="32">
        <v>1</v>
      </c>
      <c r="J66" s="33">
        <v>334.26</v>
      </c>
      <c r="K66" s="34">
        <f t="shared" ref="K66:K92" si="26">ROUND(J66*H66,2)</f>
        <v>334.26</v>
      </c>
      <c r="L66" s="90">
        <f t="shared" si="1"/>
        <v>334.26</v>
      </c>
      <c r="M66" s="90">
        <v>0</v>
      </c>
      <c r="N66" s="70">
        <v>0</v>
      </c>
      <c r="O66" s="71">
        <f t="shared" si="2"/>
        <v>0</v>
      </c>
      <c r="P66" s="72"/>
      <c r="Q66" s="73">
        <f t="shared" ref="Q66:Q92" si="27">P66*J66</f>
        <v>0</v>
      </c>
      <c r="R66" s="70">
        <f t="shared" ref="R66:R92" si="28">P66+N66</f>
        <v>0</v>
      </c>
      <c r="S66" s="74">
        <f t="shared" ref="S66:S92" si="29">R66*J66</f>
        <v>0</v>
      </c>
      <c r="T66" s="75">
        <f t="shared" ref="T66:T92" si="30">S66/K66</f>
        <v>0</v>
      </c>
      <c r="U66" s="76">
        <f t="shared" ref="U66:U92" si="31">H66-R66</f>
        <v>1</v>
      </c>
      <c r="V66" s="77">
        <f t="shared" ref="V66:V92" si="32">U66*J66</f>
        <v>334.26</v>
      </c>
      <c r="W66" s="78">
        <f t="shared" ref="W66:W92" si="33">U66/H66</f>
        <v>1</v>
      </c>
    </row>
    <row r="67" spans="2:23" s="5" customFormat="1" ht="33" customHeight="1" x14ac:dyDescent="0.35">
      <c r="B67" s="4"/>
      <c r="C67" s="28" t="s">
        <v>368</v>
      </c>
      <c r="D67" s="28" t="s">
        <v>32</v>
      </c>
      <c r="E67" s="29" t="s">
        <v>369</v>
      </c>
      <c r="F67" s="30" t="s">
        <v>370</v>
      </c>
      <c r="G67" s="31" t="s">
        <v>272</v>
      </c>
      <c r="H67" s="32">
        <v>7</v>
      </c>
      <c r="I67" s="32">
        <v>7</v>
      </c>
      <c r="J67" s="33">
        <v>467.97</v>
      </c>
      <c r="K67" s="34">
        <f t="shared" si="26"/>
        <v>3275.79</v>
      </c>
      <c r="L67" s="90">
        <f t="shared" si="1"/>
        <v>3275.79</v>
      </c>
      <c r="M67" s="90">
        <v>0</v>
      </c>
      <c r="N67" s="70">
        <v>0</v>
      </c>
      <c r="O67" s="71">
        <f t="shared" si="2"/>
        <v>0</v>
      </c>
      <c r="P67" s="72"/>
      <c r="Q67" s="73">
        <f t="shared" si="27"/>
        <v>0</v>
      </c>
      <c r="R67" s="70">
        <f t="shared" si="28"/>
        <v>0</v>
      </c>
      <c r="S67" s="74">
        <f t="shared" si="29"/>
        <v>0</v>
      </c>
      <c r="T67" s="75">
        <f t="shared" si="30"/>
        <v>0</v>
      </c>
      <c r="U67" s="76">
        <f t="shared" si="31"/>
        <v>7</v>
      </c>
      <c r="V67" s="77">
        <f t="shared" si="32"/>
        <v>3275.79</v>
      </c>
      <c r="W67" s="78">
        <f t="shared" si="33"/>
        <v>1</v>
      </c>
    </row>
    <row r="68" spans="2:23" s="5" customFormat="1" ht="24.15" customHeight="1" x14ac:dyDescent="0.35">
      <c r="B68" s="4"/>
      <c r="C68" s="28" t="s">
        <v>371</v>
      </c>
      <c r="D68" s="28" t="s">
        <v>32</v>
      </c>
      <c r="E68" s="29" t="s">
        <v>372</v>
      </c>
      <c r="F68" s="30" t="s">
        <v>373</v>
      </c>
      <c r="G68" s="31" t="s">
        <v>272</v>
      </c>
      <c r="H68" s="32">
        <v>1</v>
      </c>
      <c r="I68" s="32">
        <v>1</v>
      </c>
      <c r="J68" s="33">
        <v>200.56</v>
      </c>
      <c r="K68" s="34">
        <f t="shared" si="26"/>
        <v>200.56</v>
      </c>
      <c r="L68" s="90">
        <f t="shared" si="1"/>
        <v>200.56</v>
      </c>
      <c r="M68" s="90">
        <v>0</v>
      </c>
      <c r="N68" s="70">
        <v>0</v>
      </c>
      <c r="O68" s="71">
        <f t="shared" si="2"/>
        <v>0</v>
      </c>
      <c r="P68" s="72"/>
      <c r="Q68" s="73">
        <f t="shared" si="27"/>
        <v>0</v>
      </c>
      <c r="R68" s="70">
        <f t="shared" si="28"/>
        <v>0</v>
      </c>
      <c r="S68" s="74">
        <f t="shared" si="29"/>
        <v>0</v>
      </c>
      <c r="T68" s="75">
        <f t="shared" si="30"/>
        <v>0</v>
      </c>
      <c r="U68" s="76">
        <f t="shared" si="31"/>
        <v>1</v>
      </c>
      <c r="V68" s="77">
        <f t="shared" si="32"/>
        <v>200.56</v>
      </c>
      <c r="W68" s="78">
        <f t="shared" si="33"/>
        <v>1</v>
      </c>
    </row>
    <row r="69" spans="2:23" s="5" customFormat="1" ht="16.5" customHeight="1" x14ac:dyDescent="0.35">
      <c r="B69" s="4"/>
      <c r="C69" s="38" t="s">
        <v>374</v>
      </c>
      <c r="D69" s="38" t="s">
        <v>193</v>
      </c>
      <c r="E69" s="39" t="s">
        <v>299</v>
      </c>
      <c r="F69" s="40" t="s">
        <v>300</v>
      </c>
      <c r="G69" s="41" t="s">
        <v>214</v>
      </c>
      <c r="H69" s="42">
        <v>4.8</v>
      </c>
      <c r="I69" s="42">
        <v>4.8</v>
      </c>
      <c r="J69" s="43">
        <v>1270.21</v>
      </c>
      <c r="K69" s="44">
        <f t="shared" si="26"/>
        <v>6097.01</v>
      </c>
      <c r="L69" s="90">
        <f t="shared" si="1"/>
        <v>6097.0079999999998</v>
      </c>
      <c r="M69" s="90">
        <v>0</v>
      </c>
      <c r="N69" s="70">
        <v>0</v>
      </c>
      <c r="O69" s="71">
        <f t="shared" si="2"/>
        <v>0</v>
      </c>
      <c r="P69" s="72"/>
      <c r="Q69" s="73">
        <f t="shared" si="27"/>
        <v>0</v>
      </c>
      <c r="R69" s="70">
        <f t="shared" si="28"/>
        <v>0</v>
      </c>
      <c r="S69" s="74">
        <f t="shared" si="29"/>
        <v>0</v>
      </c>
      <c r="T69" s="75">
        <f t="shared" si="30"/>
        <v>0</v>
      </c>
      <c r="U69" s="76">
        <f t="shared" si="31"/>
        <v>4.8</v>
      </c>
      <c r="V69" s="77">
        <f t="shared" si="32"/>
        <v>6097.0079999999998</v>
      </c>
      <c r="W69" s="78">
        <f t="shared" si="33"/>
        <v>1</v>
      </c>
    </row>
    <row r="70" spans="2:23" s="5" customFormat="1" ht="24.15" customHeight="1" x14ac:dyDescent="0.35">
      <c r="B70" s="4"/>
      <c r="C70" s="28" t="s">
        <v>375</v>
      </c>
      <c r="D70" s="28" t="s">
        <v>32</v>
      </c>
      <c r="E70" s="29" t="s">
        <v>376</v>
      </c>
      <c r="F70" s="30" t="s">
        <v>377</v>
      </c>
      <c r="G70" s="31" t="s">
        <v>272</v>
      </c>
      <c r="H70" s="32">
        <v>7</v>
      </c>
      <c r="I70" s="32">
        <v>7</v>
      </c>
      <c r="J70" s="33">
        <v>247.36</v>
      </c>
      <c r="K70" s="34">
        <f t="shared" si="26"/>
        <v>1731.52</v>
      </c>
      <c r="L70" s="90">
        <f t="shared" si="1"/>
        <v>1731.52</v>
      </c>
      <c r="M70" s="90">
        <v>0</v>
      </c>
      <c r="N70" s="70">
        <v>0</v>
      </c>
      <c r="O70" s="71">
        <f t="shared" si="2"/>
        <v>0</v>
      </c>
      <c r="P70" s="72"/>
      <c r="Q70" s="73">
        <f t="shared" si="27"/>
        <v>0</v>
      </c>
      <c r="R70" s="70">
        <f t="shared" si="28"/>
        <v>0</v>
      </c>
      <c r="S70" s="74">
        <f t="shared" si="29"/>
        <v>0</v>
      </c>
      <c r="T70" s="75">
        <f t="shared" si="30"/>
        <v>0</v>
      </c>
      <c r="U70" s="76">
        <f t="shared" si="31"/>
        <v>7</v>
      </c>
      <c r="V70" s="77">
        <f t="shared" si="32"/>
        <v>1731.52</v>
      </c>
      <c r="W70" s="78">
        <f t="shared" si="33"/>
        <v>1</v>
      </c>
    </row>
    <row r="71" spans="2:23" s="5" customFormat="1" ht="24.15" customHeight="1" x14ac:dyDescent="0.35">
      <c r="B71" s="4"/>
      <c r="C71" s="28" t="s">
        <v>378</v>
      </c>
      <c r="D71" s="28" t="s">
        <v>32</v>
      </c>
      <c r="E71" s="29" t="s">
        <v>379</v>
      </c>
      <c r="F71" s="30" t="s">
        <v>380</v>
      </c>
      <c r="G71" s="31" t="s">
        <v>272</v>
      </c>
      <c r="H71" s="32">
        <v>1</v>
      </c>
      <c r="I71" s="32">
        <v>1</v>
      </c>
      <c r="J71" s="33">
        <v>113.65</v>
      </c>
      <c r="K71" s="34">
        <f t="shared" si="26"/>
        <v>113.65</v>
      </c>
      <c r="L71" s="90">
        <f t="shared" si="1"/>
        <v>113.65</v>
      </c>
      <c r="M71" s="90">
        <v>0</v>
      </c>
      <c r="N71" s="70">
        <v>0</v>
      </c>
      <c r="O71" s="71">
        <f t="shared" si="2"/>
        <v>0</v>
      </c>
      <c r="P71" s="72"/>
      <c r="Q71" s="73">
        <f t="shared" si="27"/>
        <v>0</v>
      </c>
      <c r="R71" s="70">
        <f t="shared" si="28"/>
        <v>0</v>
      </c>
      <c r="S71" s="74">
        <f t="shared" si="29"/>
        <v>0</v>
      </c>
      <c r="T71" s="75">
        <f t="shared" si="30"/>
        <v>0</v>
      </c>
      <c r="U71" s="76">
        <f t="shared" si="31"/>
        <v>1</v>
      </c>
      <c r="V71" s="77">
        <f t="shared" si="32"/>
        <v>113.65</v>
      </c>
      <c r="W71" s="78">
        <f t="shared" si="33"/>
        <v>1</v>
      </c>
    </row>
    <row r="72" spans="2:23" s="5" customFormat="1" ht="21.75" customHeight="1" x14ac:dyDescent="0.35">
      <c r="B72" s="4"/>
      <c r="C72" s="38" t="s">
        <v>381</v>
      </c>
      <c r="D72" s="38" t="s">
        <v>193</v>
      </c>
      <c r="E72" s="39" t="s">
        <v>303</v>
      </c>
      <c r="F72" s="40" t="s">
        <v>304</v>
      </c>
      <c r="G72" s="41" t="s">
        <v>73</v>
      </c>
      <c r="H72" s="42">
        <v>1</v>
      </c>
      <c r="I72" s="42">
        <v>1</v>
      </c>
      <c r="J72" s="43">
        <v>167.13</v>
      </c>
      <c r="K72" s="44">
        <f t="shared" si="26"/>
        <v>167.13</v>
      </c>
      <c r="L72" s="90">
        <f t="shared" si="1"/>
        <v>167.13</v>
      </c>
      <c r="M72" s="90">
        <v>0</v>
      </c>
      <c r="N72" s="70">
        <v>0</v>
      </c>
      <c r="O72" s="71">
        <f t="shared" si="2"/>
        <v>0</v>
      </c>
      <c r="P72" s="72"/>
      <c r="Q72" s="73">
        <f t="shared" si="27"/>
        <v>0</v>
      </c>
      <c r="R72" s="70">
        <f t="shared" si="28"/>
        <v>0</v>
      </c>
      <c r="S72" s="74">
        <f t="shared" si="29"/>
        <v>0</v>
      </c>
      <c r="T72" s="75">
        <f t="shared" si="30"/>
        <v>0</v>
      </c>
      <c r="U72" s="76">
        <f t="shared" si="31"/>
        <v>1</v>
      </c>
      <c r="V72" s="77">
        <f t="shared" si="32"/>
        <v>167.13</v>
      </c>
      <c r="W72" s="78">
        <f t="shared" si="33"/>
        <v>1</v>
      </c>
    </row>
    <row r="73" spans="2:23" s="5" customFormat="1" ht="16.5" customHeight="1" x14ac:dyDescent="0.35">
      <c r="B73" s="4"/>
      <c r="C73" s="38" t="s">
        <v>269</v>
      </c>
      <c r="D73" s="38" t="s">
        <v>193</v>
      </c>
      <c r="E73" s="39" t="s">
        <v>307</v>
      </c>
      <c r="F73" s="40" t="s">
        <v>308</v>
      </c>
      <c r="G73" s="41" t="s">
        <v>120</v>
      </c>
      <c r="H73" s="42">
        <v>1</v>
      </c>
      <c r="I73" s="42">
        <v>1</v>
      </c>
      <c r="J73" s="43">
        <v>16.73</v>
      </c>
      <c r="K73" s="44">
        <f t="shared" si="26"/>
        <v>16.73</v>
      </c>
      <c r="L73" s="90">
        <f t="shared" si="1"/>
        <v>16.73</v>
      </c>
      <c r="M73" s="90">
        <v>0</v>
      </c>
      <c r="N73" s="70">
        <v>0</v>
      </c>
      <c r="O73" s="71">
        <f t="shared" si="2"/>
        <v>0</v>
      </c>
      <c r="P73" s="72"/>
      <c r="Q73" s="73">
        <f t="shared" si="27"/>
        <v>0</v>
      </c>
      <c r="R73" s="70">
        <f t="shared" si="28"/>
        <v>0</v>
      </c>
      <c r="S73" s="74">
        <f t="shared" si="29"/>
        <v>0</v>
      </c>
      <c r="T73" s="75">
        <f t="shared" si="30"/>
        <v>0</v>
      </c>
      <c r="U73" s="76">
        <f t="shared" si="31"/>
        <v>1</v>
      </c>
      <c r="V73" s="77">
        <f t="shared" si="32"/>
        <v>16.73</v>
      </c>
      <c r="W73" s="78">
        <f t="shared" si="33"/>
        <v>1</v>
      </c>
    </row>
    <row r="74" spans="2:23" s="5" customFormat="1" ht="24.15" customHeight="1" x14ac:dyDescent="0.35">
      <c r="B74" s="4"/>
      <c r="C74" s="28" t="s">
        <v>382</v>
      </c>
      <c r="D74" s="28" t="s">
        <v>32</v>
      </c>
      <c r="E74" s="29" t="s">
        <v>301</v>
      </c>
      <c r="F74" s="30" t="s">
        <v>302</v>
      </c>
      <c r="G74" s="31" t="s">
        <v>272</v>
      </c>
      <c r="H74" s="32">
        <v>7</v>
      </c>
      <c r="I74" s="32">
        <v>7</v>
      </c>
      <c r="J74" s="33">
        <v>233.99</v>
      </c>
      <c r="K74" s="34">
        <f t="shared" si="26"/>
        <v>1637.93</v>
      </c>
      <c r="L74" s="90">
        <f t="shared" si="1"/>
        <v>1637.93</v>
      </c>
      <c r="M74" s="90">
        <v>0</v>
      </c>
      <c r="N74" s="70">
        <v>0</v>
      </c>
      <c r="O74" s="71">
        <f t="shared" si="2"/>
        <v>0</v>
      </c>
      <c r="P74" s="72"/>
      <c r="Q74" s="73">
        <f t="shared" si="27"/>
        <v>0</v>
      </c>
      <c r="R74" s="70">
        <f t="shared" si="28"/>
        <v>0</v>
      </c>
      <c r="S74" s="74">
        <f t="shared" si="29"/>
        <v>0</v>
      </c>
      <c r="T74" s="75">
        <f t="shared" si="30"/>
        <v>0</v>
      </c>
      <c r="U74" s="76">
        <f t="shared" si="31"/>
        <v>7</v>
      </c>
      <c r="V74" s="77">
        <f t="shared" si="32"/>
        <v>1637.93</v>
      </c>
      <c r="W74" s="78">
        <f t="shared" si="33"/>
        <v>1</v>
      </c>
    </row>
    <row r="75" spans="2:23" s="5" customFormat="1" ht="21.75" customHeight="1" x14ac:dyDescent="0.35">
      <c r="B75" s="4"/>
      <c r="C75" s="38" t="s">
        <v>383</v>
      </c>
      <c r="D75" s="38" t="s">
        <v>193</v>
      </c>
      <c r="E75" s="39" t="s">
        <v>303</v>
      </c>
      <c r="F75" s="40" t="s">
        <v>304</v>
      </c>
      <c r="G75" s="41" t="s">
        <v>73</v>
      </c>
      <c r="H75" s="42">
        <v>21</v>
      </c>
      <c r="I75" s="42">
        <v>21</v>
      </c>
      <c r="J75" s="43">
        <v>167.13</v>
      </c>
      <c r="K75" s="44">
        <f t="shared" si="26"/>
        <v>3509.73</v>
      </c>
      <c r="L75" s="90">
        <f t="shared" si="1"/>
        <v>3509.73</v>
      </c>
      <c r="M75" s="90">
        <v>0</v>
      </c>
      <c r="N75" s="70">
        <v>0</v>
      </c>
      <c r="O75" s="71">
        <f t="shared" si="2"/>
        <v>0</v>
      </c>
      <c r="P75" s="72"/>
      <c r="Q75" s="73">
        <f t="shared" si="27"/>
        <v>0</v>
      </c>
      <c r="R75" s="70">
        <f t="shared" si="28"/>
        <v>0</v>
      </c>
      <c r="S75" s="74">
        <f t="shared" si="29"/>
        <v>0</v>
      </c>
      <c r="T75" s="75">
        <f t="shared" si="30"/>
        <v>0</v>
      </c>
      <c r="U75" s="76">
        <f t="shared" si="31"/>
        <v>21</v>
      </c>
      <c r="V75" s="77">
        <f t="shared" si="32"/>
        <v>3509.73</v>
      </c>
      <c r="W75" s="78">
        <f t="shared" si="33"/>
        <v>1</v>
      </c>
    </row>
    <row r="76" spans="2:23" s="5" customFormat="1" ht="16.5" customHeight="1" x14ac:dyDescent="0.35">
      <c r="B76" s="4"/>
      <c r="C76" s="38" t="s">
        <v>384</v>
      </c>
      <c r="D76" s="38" t="s">
        <v>193</v>
      </c>
      <c r="E76" s="39" t="s">
        <v>305</v>
      </c>
      <c r="F76" s="40" t="s">
        <v>306</v>
      </c>
      <c r="G76" s="41" t="s">
        <v>73</v>
      </c>
      <c r="H76" s="42">
        <v>21</v>
      </c>
      <c r="I76" s="42">
        <v>21</v>
      </c>
      <c r="J76" s="43">
        <v>33.43</v>
      </c>
      <c r="K76" s="44">
        <f t="shared" si="26"/>
        <v>702.03</v>
      </c>
      <c r="L76" s="90">
        <f t="shared" si="1"/>
        <v>702.03</v>
      </c>
      <c r="M76" s="90">
        <v>0</v>
      </c>
      <c r="N76" s="70">
        <v>0</v>
      </c>
      <c r="O76" s="71">
        <f t="shared" si="2"/>
        <v>0</v>
      </c>
      <c r="P76" s="72"/>
      <c r="Q76" s="73">
        <f t="shared" si="27"/>
        <v>0</v>
      </c>
      <c r="R76" s="70">
        <f t="shared" si="28"/>
        <v>0</v>
      </c>
      <c r="S76" s="74">
        <f t="shared" si="29"/>
        <v>0</v>
      </c>
      <c r="T76" s="75">
        <f t="shared" si="30"/>
        <v>0</v>
      </c>
      <c r="U76" s="76">
        <f t="shared" si="31"/>
        <v>21</v>
      </c>
      <c r="V76" s="77">
        <f t="shared" si="32"/>
        <v>702.03</v>
      </c>
      <c r="W76" s="78">
        <f t="shared" si="33"/>
        <v>1</v>
      </c>
    </row>
    <row r="77" spans="2:23" s="5" customFormat="1" ht="16.5" customHeight="1" x14ac:dyDescent="0.35">
      <c r="B77" s="4"/>
      <c r="C77" s="38" t="s">
        <v>385</v>
      </c>
      <c r="D77" s="38" t="s">
        <v>193</v>
      </c>
      <c r="E77" s="39" t="s">
        <v>307</v>
      </c>
      <c r="F77" s="40" t="s">
        <v>308</v>
      </c>
      <c r="G77" s="41" t="s">
        <v>120</v>
      </c>
      <c r="H77" s="42">
        <v>10.5</v>
      </c>
      <c r="I77" s="42">
        <v>10.5</v>
      </c>
      <c r="J77" s="43">
        <v>16.71</v>
      </c>
      <c r="K77" s="44">
        <f t="shared" si="26"/>
        <v>175.46</v>
      </c>
      <c r="L77" s="90">
        <f t="shared" si="1"/>
        <v>175.45500000000001</v>
      </c>
      <c r="M77" s="90">
        <v>0</v>
      </c>
      <c r="N77" s="70">
        <v>0</v>
      </c>
      <c r="O77" s="71">
        <f t="shared" si="2"/>
        <v>0</v>
      </c>
      <c r="P77" s="72"/>
      <c r="Q77" s="73">
        <f t="shared" si="27"/>
        <v>0</v>
      </c>
      <c r="R77" s="70">
        <f t="shared" si="28"/>
        <v>0</v>
      </c>
      <c r="S77" s="74">
        <f t="shared" si="29"/>
        <v>0</v>
      </c>
      <c r="T77" s="75">
        <f t="shared" si="30"/>
        <v>0</v>
      </c>
      <c r="U77" s="76">
        <f t="shared" si="31"/>
        <v>10.5</v>
      </c>
      <c r="V77" s="77">
        <f t="shared" si="32"/>
        <v>175.45500000000001</v>
      </c>
      <c r="W77" s="78">
        <f t="shared" si="33"/>
        <v>1</v>
      </c>
    </row>
    <row r="78" spans="2:23" s="5" customFormat="1" ht="24.15" customHeight="1" x14ac:dyDescent="0.35">
      <c r="B78" s="4"/>
      <c r="C78" s="28" t="s">
        <v>386</v>
      </c>
      <c r="D78" s="28" t="s">
        <v>32</v>
      </c>
      <c r="E78" s="29" t="s">
        <v>309</v>
      </c>
      <c r="F78" s="30" t="s">
        <v>310</v>
      </c>
      <c r="G78" s="31" t="s">
        <v>272</v>
      </c>
      <c r="H78" s="32">
        <v>8</v>
      </c>
      <c r="I78" s="32">
        <v>8</v>
      </c>
      <c r="J78" s="33">
        <v>66.849999999999994</v>
      </c>
      <c r="K78" s="34">
        <f t="shared" si="26"/>
        <v>534.79999999999995</v>
      </c>
      <c r="L78" s="90">
        <f t="shared" si="1"/>
        <v>534.79999999999995</v>
      </c>
      <c r="M78" s="90">
        <v>0</v>
      </c>
      <c r="N78" s="70">
        <v>0</v>
      </c>
      <c r="O78" s="71">
        <f t="shared" si="2"/>
        <v>0</v>
      </c>
      <c r="P78" s="72"/>
      <c r="Q78" s="73">
        <f t="shared" si="27"/>
        <v>0</v>
      </c>
      <c r="R78" s="70">
        <f t="shared" si="28"/>
        <v>0</v>
      </c>
      <c r="S78" s="74">
        <f t="shared" si="29"/>
        <v>0</v>
      </c>
      <c r="T78" s="75">
        <f t="shared" si="30"/>
        <v>0</v>
      </c>
      <c r="U78" s="76">
        <f t="shared" si="31"/>
        <v>8</v>
      </c>
      <c r="V78" s="77">
        <f t="shared" si="32"/>
        <v>534.79999999999995</v>
      </c>
      <c r="W78" s="78">
        <f t="shared" si="33"/>
        <v>1</v>
      </c>
    </row>
    <row r="79" spans="2:23" s="5" customFormat="1" ht="21.75" customHeight="1" x14ac:dyDescent="0.35">
      <c r="B79" s="4"/>
      <c r="C79" s="28" t="s">
        <v>387</v>
      </c>
      <c r="D79" s="28" t="s">
        <v>32</v>
      </c>
      <c r="E79" s="29" t="s">
        <v>315</v>
      </c>
      <c r="F79" s="30" t="s">
        <v>316</v>
      </c>
      <c r="G79" s="31" t="s">
        <v>272</v>
      </c>
      <c r="H79" s="32">
        <v>7</v>
      </c>
      <c r="I79" s="32">
        <v>7</v>
      </c>
      <c r="J79" s="33">
        <v>127.02</v>
      </c>
      <c r="K79" s="34">
        <f t="shared" si="26"/>
        <v>889.14</v>
      </c>
      <c r="L79" s="90">
        <f t="shared" si="1"/>
        <v>889.14</v>
      </c>
      <c r="M79" s="90">
        <v>0</v>
      </c>
      <c r="N79" s="70">
        <v>0</v>
      </c>
      <c r="O79" s="71">
        <f t="shared" si="2"/>
        <v>0</v>
      </c>
      <c r="P79" s="72"/>
      <c r="Q79" s="73">
        <f t="shared" si="27"/>
        <v>0</v>
      </c>
      <c r="R79" s="70">
        <f t="shared" si="28"/>
        <v>0</v>
      </c>
      <c r="S79" s="74">
        <f t="shared" si="29"/>
        <v>0</v>
      </c>
      <c r="T79" s="75">
        <f t="shared" si="30"/>
        <v>0</v>
      </c>
      <c r="U79" s="76">
        <f t="shared" si="31"/>
        <v>7</v>
      </c>
      <c r="V79" s="77">
        <f t="shared" si="32"/>
        <v>889.14</v>
      </c>
      <c r="W79" s="78">
        <f t="shared" si="33"/>
        <v>1</v>
      </c>
    </row>
    <row r="80" spans="2:23" s="5" customFormat="1" ht="33" customHeight="1" x14ac:dyDescent="0.35">
      <c r="B80" s="4"/>
      <c r="C80" s="28" t="s">
        <v>388</v>
      </c>
      <c r="D80" s="28" t="s">
        <v>32</v>
      </c>
      <c r="E80" s="29" t="s">
        <v>389</v>
      </c>
      <c r="F80" s="30" t="s">
        <v>320</v>
      </c>
      <c r="G80" s="31" t="s">
        <v>272</v>
      </c>
      <c r="H80" s="32">
        <v>7</v>
      </c>
      <c r="I80" s="32">
        <v>7</v>
      </c>
      <c r="J80" s="33">
        <v>66.849999999999994</v>
      </c>
      <c r="K80" s="34">
        <f t="shared" si="26"/>
        <v>467.95</v>
      </c>
      <c r="L80" s="90">
        <f t="shared" si="1"/>
        <v>467.94999999999993</v>
      </c>
      <c r="M80" s="90">
        <v>0</v>
      </c>
      <c r="N80" s="70">
        <v>0</v>
      </c>
      <c r="O80" s="71">
        <f t="shared" si="2"/>
        <v>0</v>
      </c>
      <c r="P80" s="72"/>
      <c r="Q80" s="73">
        <f t="shared" si="27"/>
        <v>0</v>
      </c>
      <c r="R80" s="70">
        <f t="shared" si="28"/>
        <v>0</v>
      </c>
      <c r="S80" s="74">
        <f t="shared" si="29"/>
        <v>0</v>
      </c>
      <c r="T80" s="75">
        <f t="shared" si="30"/>
        <v>0</v>
      </c>
      <c r="U80" s="76">
        <f t="shared" si="31"/>
        <v>7</v>
      </c>
      <c r="V80" s="77">
        <f t="shared" si="32"/>
        <v>467.94999999999993</v>
      </c>
      <c r="W80" s="78">
        <f t="shared" si="33"/>
        <v>1</v>
      </c>
    </row>
    <row r="81" spans="2:23" s="5" customFormat="1" ht="16.5" customHeight="1" x14ac:dyDescent="0.35">
      <c r="B81" s="4"/>
      <c r="C81" s="38" t="s">
        <v>390</v>
      </c>
      <c r="D81" s="38" t="s">
        <v>193</v>
      </c>
      <c r="E81" s="39" t="s">
        <v>321</v>
      </c>
      <c r="F81" s="40" t="s">
        <v>322</v>
      </c>
      <c r="G81" s="41" t="s">
        <v>323</v>
      </c>
      <c r="H81" s="42">
        <v>5.95</v>
      </c>
      <c r="I81" s="42">
        <v>5.95</v>
      </c>
      <c r="J81" s="43">
        <v>1002.79</v>
      </c>
      <c r="K81" s="44">
        <f t="shared" si="26"/>
        <v>5966.6</v>
      </c>
      <c r="L81" s="90">
        <f t="shared" si="1"/>
        <v>5966.6004999999996</v>
      </c>
      <c r="M81" s="90">
        <v>0</v>
      </c>
      <c r="N81" s="70">
        <v>0</v>
      </c>
      <c r="O81" s="71">
        <f t="shared" si="2"/>
        <v>0</v>
      </c>
      <c r="P81" s="72"/>
      <c r="Q81" s="73">
        <f t="shared" si="27"/>
        <v>0</v>
      </c>
      <c r="R81" s="70">
        <f t="shared" si="28"/>
        <v>0</v>
      </c>
      <c r="S81" s="74">
        <f t="shared" si="29"/>
        <v>0</v>
      </c>
      <c r="T81" s="75">
        <f t="shared" si="30"/>
        <v>0</v>
      </c>
      <c r="U81" s="76">
        <f t="shared" si="31"/>
        <v>5.95</v>
      </c>
      <c r="V81" s="77">
        <f t="shared" si="32"/>
        <v>5966.6004999999996</v>
      </c>
      <c r="W81" s="78">
        <f t="shared" si="33"/>
        <v>1</v>
      </c>
    </row>
    <row r="82" spans="2:23" s="5" customFormat="1" ht="24.15" customHeight="1" x14ac:dyDescent="0.35">
      <c r="B82" s="4"/>
      <c r="C82" s="28" t="s">
        <v>391</v>
      </c>
      <c r="D82" s="28" t="s">
        <v>32</v>
      </c>
      <c r="E82" s="29" t="s">
        <v>324</v>
      </c>
      <c r="F82" s="30" t="s">
        <v>325</v>
      </c>
      <c r="G82" s="31" t="s">
        <v>207</v>
      </c>
      <c r="H82" s="32">
        <v>8</v>
      </c>
      <c r="I82" s="32">
        <v>8</v>
      </c>
      <c r="J82" s="33">
        <v>66.849999999999994</v>
      </c>
      <c r="K82" s="34">
        <f t="shared" si="26"/>
        <v>534.79999999999995</v>
      </c>
      <c r="L82" s="90">
        <f t="shared" si="1"/>
        <v>534.79999999999995</v>
      </c>
      <c r="M82" s="90">
        <v>0</v>
      </c>
      <c r="N82" s="70">
        <v>0</v>
      </c>
      <c r="O82" s="71">
        <f t="shared" si="2"/>
        <v>0</v>
      </c>
      <c r="P82" s="72"/>
      <c r="Q82" s="73">
        <f t="shared" si="27"/>
        <v>0</v>
      </c>
      <c r="R82" s="70">
        <f t="shared" si="28"/>
        <v>0</v>
      </c>
      <c r="S82" s="74">
        <f t="shared" si="29"/>
        <v>0</v>
      </c>
      <c r="T82" s="75">
        <f t="shared" si="30"/>
        <v>0</v>
      </c>
      <c r="U82" s="76">
        <f t="shared" si="31"/>
        <v>8</v>
      </c>
      <c r="V82" s="77">
        <f t="shared" si="32"/>
        <v>534.79999999999995</v>
      </c>
      <c r="W82" s="78">
        <f t="shared" si="33"/>
        <v>1</v>
      </c>
    </row>
    <row r="83" spans="2:23" s="5" customFormat="1" ht="16.5" customHeight="1" x14ac:dyDescent="0.35">
      <c r="B83" s="4"/>
      <c r="C83" s="38" t="s">
        <v>307</v>
      </c>
      <c r="D83" s="38" t="s">
        <v>193</v>
      </c>
      <c r="E83" s="39" t="s">
        <v>326</v>
      </c>
      <c r="F83" s="40" t="s">
        <v>327</v>
      </c>
      <c r="G83" s="41" t="s">
        <v>214</v>
      </c>
      <c r="H83" s="42">
        <v>0.8</v>
      </c>
      <c r="I83" s="42">
        <v>0.8</v>
      </c>
      <c r="J83" s="43">
        <v>1671.32</v>
      </c>
      <c r="K83" s="44">
        <f t="shared" si="26"/>
        <v>1337.06</v>
      </c>
      <c r="L83" s="90">
        <f t="shared" si="1"/>
        <v>1337.056</v>
      </c>
      <c r="M83" s="90">
        <v>0</v>
      </c>
      <c r="N83" s="70">
        <v>0</v>
      </c>
      <c r="O83" s="71">
        <f t="shared" si="2"/>
        <v>0</v>
      </c>
      <c r="P83" s="72"/>
      <c r="Q83" s="73">
        <f t="shared" si="27"/>
        <v>0</v>
      </c>
      <c r="R83" s="70">
        <f t="shared" si="28"/>
        <v>0</v>
      </c>
      <c r="S83" s="74">
        <f t="shared" si="29"/>
        <v>0</v>
      </c>
      <c r="T83" s="75">
        <f t="shared" si="30"/>
        <v>0</v>
      </c>
      <c r="U83" s="76">
        <f t="shared" si="31"/>
        <v>0.8</v>
      </c>
      <c r="V83" s="77">
        <f t="shared" si="32"/>
        <v>1337.056</v>
      </c>
      <c r="W83" s="78">
        <f t="shared" si="33"/>
        <v>1</v>
      </c>
    </row>
    <row r="84" spans="2:23" s="5" customFormat="1" ht="24.15" customHeight="1" x14ac:dyDescent="0.35">
      <c r="B84" s="4"/>
      <c r="C84" s="28" t="s">
        <v>305</v>
      </c>
      <c r="D84" s="28" t="s">
        <v>32</v>
      </c>
      <c r="E84" s="29" t="s">
        <v>328</v>
      </c>
      <c r="F84" s="30" t="s">
        <v>329</v>
      </c>
      <c r="G84" s="31" t="s">
        <v>223</v>
      </c>
      <c r="H84" s="32">
        <v>8.0000000000000002E-3</v>
      </c>
      <c r="I84" s="32">
        <v>8.0000000000000002E-3</v>
      </c>
      <c r="J84" s="33">
        <v>46797.08</v>
      </c>
      <c r="K84" s="34">
        <f t="shared" si="26"/>
        <v>374.38</v>
      </c>
      <c r="L84" s="90">
        <f t="shared" si="1"/>
        <v>374.37664000000001</v>
      </c>
      <c r="M84" s="90">
        <v>0</v>
      </c>
      <c r="N84" s="70">
        <v>0</v>
      </c>
      <c r="O84" s="71">
        <f t="shared" si="2"/>
        <v>0</v>
      </c>
      <c r="P84" s="72"/>
      <c r="Q84" s="73">
        <f t="shared" si="27"/>
        <v>0</v>
      </c>
      <c r="R84" s="70">
        <f t="shared" si="28"/>
        <v>0</v>
      </c>
      <c r="S84" s="74">
        <f t="shared" si="29"/>
        <v>0</v>
      </c>
      <c r="T84" s="75">
        <f t="shared" si="30"/>
        <v>0</v>
      </c>
      <c r="U84" s="76">
        <f t="shared" si="31"/>
        <v>8.0000000000000002E-3</v>
      </c>
      <c r="V84" s="77">
        <f t="shared" si="32"/>
        <v>374.37664000000001</v>
      </c>
      <c r="W84" s="78">
        <f t="shared" si="33"/>
        <v>1</v>
      </c>
    </row>
    <row r="85" spans="2:23" s="5" customFormat="1" ht="24.15" customHeight="1" x14ac:dyDescent="0.35">
      <c r="B85" s="4"/>
      <c r="C85" s="38" t="s">
        <v>303</v>
      </c>
      <c r="D85" s="38" t="s">
        <v>193</v>
      </c>
      <c r="E85" s="39" t="s">
        <v>330</v>
      </c>
      <c r="F85" s="40" t="s">
        <v>331</v>
      </c>
      <c r="G85" s="41" t="s">
        <v>73</v>
      </c>
      <c r="H85" s="42">
        <v>80</v>
      </c>
      <c r="I85" s="42">
        <v>80</v>
      </c>
      <c r="J85" s="43">
        <v>2.67</v>
      </c>
      <c r="K85" s="44">
        <f t="shared" si="26"/>
        <v>213.6</v>
      </c>
      <c r="L85" s="90">
        <f t="shared" ref="L85:L92" si="34">I85*J85</f>
        <v>213.6</v>
      </c>
      <c r="M85" s="90">
        <v>0</v>
      </c>
      <c r="N85" s="70">
        <v>0</v>
      </c>
      <c r="O85" s="71">
        <f t="shared" ref="O85:O92" si="35">N85*J85</f>
        <v>0</v>
      </c>
      <c r="P85" s="72"/>
      <c r="Q85" s="73">
        <f t="shared" si="27"/>
        <v>0</v>
      </c>
      <c r="R85" s="70">
        <f t="shared" si="28"/>
        <v>0</v>
      </c>
      <c r="S85" s="74">
        <f t="shared" si="29"/>
        <v>0</v>
      </c>
      <c r="T85" s="75">
        <f t="shared" si="30"/>
        <v>0</v>
      </c>
      <c r="U85" s="76">
        <f t="shared" si="31"/>
        <v>80</v>
      </c>
      <c r="V85" s="77">
        <f t="shared" si="32"/>
        <v>213.6</v>
      </c>
      <c r="W85" s="78">
        <f t="shared" si="33"/>
        <v>1</v>
      </c>
    </row>
    <row r="86" spans="2:23" s="5" customFormat="1" ht="16.5" customHeight="1" x14ac:dyDescent="0.35">
      <c r="B86" s="4"/>
      <c r="C86" s="28" t="s">
        <v>392</v>
      </c>
      <c r="D86" s="28" t="s">
        <v>32</v>
      </c>
      <c r="E86" s="29" t="s">
        <v>334</v>
      </c>
      <c r="F86" s="30" t="s">
        <v>335</v>
      </c>
      <c r="G86" s="31" t="s">
        <v>214</v>
      </c>
      <c r="H86" s="32">
        <v>0.8</v>
      </c>
      <c r="I86" s="32">
        <v>0.8</v>
      </c>
      <c r="J86" s="33">
        <v>467.97</v>
      </c>
      <c r="K86" s="34">
        <f t="shared" si="26"/>
        <v>374.38</v>
      </c>
      <c r="L86" s="90">
        <f t="shared" si="34"/>
        <v>374.37600000000003</v>
      </c>
      <c r="M86" s="90">
        <v>0</v>
      </c>
      <c r="N86" s="70">
        <v>0</v>
      </c>
      <c r="O86" s="71">
        <f t="shared" si="35"/>
        <v>0</v>
      </c>
      <c r="P86" s="72"/>
      <c r="Q86" s="73">
        <f t="shared" si="27"/>
        <v>0</v>
      </c>
      <c r="R86" s="70">
        <f t="shared" si="28"/>
        <v>0</v>
      </c>
      <c r="S86" s="74">
        <f t="shared" si="29"/>
        <v>0</v>
      </c>
      <c r="T86" s="75">
        <f t="shared" si="30"/>
        <v>0</v>
      </c>
      <c r="U86" s="76">
        <f t="shared" si="31"/>
        <v>0.8</v>
      </c>
      <c r="V86" s="77">
        <f t="shared" si="32"/>
        <v>374.37600000000003</v>
      </c>
      <c r="W86" s="78">
        <f t="shared" si="33"/>
        <v>1</v>
      </c>
    </row>
    <row r="87" spans="2:23" s="5" customFormat="1" ht="21.75" customHeight="1" x14ac:dyDescent="0.35">
      <c r="B87" s="4"/>
      <c r="C87" s="28" t="s">
        <v>85</v>
      </c>
      <c r="D87" s="28" t="s">
        <v>32</v>
      </c>
      <c r="E87" s="29" t="s">
        <v>336</v>
      </c>
      <c r="F87" s="30" t="s">
        <v>337</v>
      </c>
      <c r="G87" s="31" t="s">
        <v>214</v>
      </c>
      <c r="H87" s="32">
        <v>0.8</v>
      </c>
      <c r="I87" s="32">
        <v>0.8</v>
      </c>
      <c r="J87" s="33">
        <v>334.26</v>
      </c>
      <c r="K87" s="34">
        <f t="shared" si="26"/>
        <v>267.41000000000003</v>
      </c>
      <c r="L87" s="90">
        <f t="shared" si="34"/>
        <v>267.40800000000002</v>
      </c>
      <c r="M87" s="90">
        <v>0</v>
      </c>
      <c r="N87" s="70">
        <v>0</v>
      </c>
      <c r="O87" s="71">
        <f t="shared" si="35"/>
        <v>0</v>
      </c>
      <c r="P87" s="72"/>
      <c r="Q87" s="73">
        <f t="shared" si="27"/>
        <v>0</v>
      </c>
      <c r="R87" s="70">
        <f t="shared" si="28"/>
        <v>0</v>
      </c>
      <c r="S87" s="74">
        <f t="shared" si="29"/>
        <v>0</v>
      </c>
      <c r="T87" s="75">
        <f t="shared" si="30"/>
        <v>0</v>
      </c>
      <c r="U87" s="76">
        <f t="shared" si="31"/>
        <v>0.8</v>
      </c>
      <c r="V87" s="77">
        <f t="shared" si="32"/>
        <v>267.40800000000002</v>
      </c>
      <c r="W87" s="78">
        <f t="shared" si="33"/>
        <v>1</v>
      </c>
    </row>
    <row r="88" spans="2:23" s="5" customFormat="1" ht="16.5" customHeight="1" x14ac:dyDescent="0.35">
      <c r="B88" s="4"/>
      <c r="C88" s="38" t="s">
        <v>393</v>
      </c>
      <c r="D88" s="38" t="s">
        <v>193</v>
      </c>
      <c r="E88" s="39" t="s">
        <v>394</v>
      </c>
      <c r="F88" s="40" t="s">
        <v>339</v>
      </c>
      <c r="G88" s="41" t="s">
        <v>214</v>
      </c>
      <c r="H88" s="42">
        <v>0.8</v>
      </c>
      <c r="I88" s="42">
        <v>0.8</v>
      </c>
      <c r="J88" s="43">
        <v>167.13</v>
      </c>
      <c r="K88" s="44">
        <f t="shared" si="26"/>
        <v>133.69999999999999</v>
      </c>
      <c r="L88" s="90">
        <f t="shared" si="34"/>
        <v>133.70400000000001</v>
      </c>
      <c r="M88" s="90">
        <v>0</v>
      </c>
      <c r="N88" s="70">
        <v>0</v>
      </c>
      <c r="O88" s="71">
        <f t="shared" si="35"/>
        <v>0</v>
      </c>
      <c r="P88" s="72"/>
      <c r="Q88" s="73">
        <f t="shared" si="27"/>
        <v>0</v>
      </c>
      <c r="R88" s="70">
        <f t="shared" si="28"/>
        <v>0</v>
      </c>
      <c r="S88" s="74">
        <f t="shared" si="29"/>
        <v>0</v>
      </c>
      <c r="T88" s="75">
        <f t="shared" si="30"/>
        <v>0</v>
      </c>
      <c r="U88" s="76">
        <f t="shared" si="31"/>
        <v>0.8</v>
      </c>
      <c r="V88" s="77">
        <f t="shared" si="32"/>
        <v>133.70400000000001</v>
      </c>
      <c r="W88" s="78">
        <f t="shared" si="33"/>
        <v>1</v>
      </c>
    </row>
    <row r="89" spans="2:23" s="5" customFormat="1" ht="16.5" customHeight="1" x14ac:dyDescent="0.35">
      <c r="B89" s="4"/>
      <c r="C89" s="38" t="s">
        <v>395</v>
      </c>
      <c r="D89" s="38" t="s">
        <v>193</v>
      </c>
      <c r="E89" s="39" t="s">
        <v>396</v>
      </c>
      <c r="F89" s="40" t="s">
        <v>397</v>
      </c>
      <c r="G89" s="41" t="s">
        <v>73</v>
      </c>
      <c r="H89" s="42">
        <v>5</v>
      </c>
      <c r="I89" s="42">
        <v>5</v>
      </c>
      <c r="J89" s="43">
        <v>5348.24</v>
      </c>
      <c r="K89" s="44">
        <f t="shared" si="26"/>
        <v>26741.200000000001</v>
      </c>
      <c r="L89" s="90">
        <f t="shared" si="34"/>
        <v>26741.199999999997</v>
      </c>
      <c r="M89" s="90">
        <v>0</v>
      </c>
      <c r="N89" s="70">
        <v>0</v>
      </c>
      <c r="O89" s="71">
        <f t="shared" si="35"/>
        <v>0</v>
      </c>
      <c r="P89" s="72"/>
      <c r="Q89" s="73">
        <f t="shared" si="27"/>
        <v>0</v>
      </c>
      <c r="R89" s="70">
        <f t="shared" si="28"/>
        <v>0</v>
      </c>
      <c r="S89" s="74">
        <f t="shared" si="29"/>
        <v>0</v>
      </c>
      <c r="T89" s="75">
        <f t="shared" si="30"/>
        <v>0</v>
      </c>
      <c r="U89" s="76">
        <f t="shared" si="31"/>
        <v>5</v>
      </c>
      <c r="V89" s="77">
        <f t="shared" si="32"/>
        <v>26741.199999999997</v>
      </c>
      <c r="W89" s="78">
        <f t="shared" si="33"/>
        <v>1</v>
      </c>
    </row>
    <row r="90" spans="2:23" s="5" customFormat="1" ht="16.5" customHeight="1" x14ac:dyDescent="0.35">
      <c r="B90" s="4"/>
      <c r="C90" s="38" t="s">
        <v>398</v>
      </c>
      <c r="D90" s="38" t="s">
        <v>193</v>
      </c>
      <c r="E90" s="39" t="s">
        <v>399</v>
      </c>
      <c r="F90" s="40" t="s">
        <v>400</v>
      </c>
      <c r="G90" s="41" t="s">
        <v>73</v>
      </c>
      <c r="H90" s="42">
        <v>1</v>
      </c>
      <c r="I90" s="42">
        <v>1</v>
      </c>
      <c r="J90" s="43">
        <v>5214.53</v>
      </c>
      <c r="K90" s="44">
        <f t="shared" si="26"/>
        <v>5214.53</v>
      </c>
      <c r="L90" s="90">
        <f t="shared" si="34"/>
        <v>5214.53</v>
      </c>
      <c r="M90" s="90">
        <v>0</v>
      </c>
      <c r="N90" s="70">
        <v>0</v>
      </c>
      <c r="O90" s="71">
        <f t="shared" si="35"/>
        <v>0</v>
      </c>
      <c r="P90" s="72"/>
      <c r="Q90" s="73">
        <f t="shared" si="27"/>
        <v>0</v>
      </c>
      <c r="R90" s="70">
        <f t="shared" si="28"/>
        <v>0</v>
      </c>
      <c r="S90" s="74">
        <f t="shared" si="29"/>
        <v>0</v>
      </c>
      <c r="T90" s="75">
        <f t="shared" si="30"/>
        <v>0</v>
      </c>
      <c r="U90" s="76">
        <f t="shared" si="31"/>
        <v>1</v>
      </c>
      <c r="V90" s="77">
        <f t="shared" si="32"/>
        <v>5214.53</v>
      </c>
      <c r="W90" s="78">
        <f t="shared" si="33"/>
        <v>1</v>
      </c>
    </row>
    <row r="91" spans="2:23" s="5" customFormat="1" ht="16.5" customHeight="1" x14ac:dyDescent="0.35">
      <c r="B91" s="4"/>
      <c r="C91" s="38" t="s">
        <v>401</v>
      </c>
      <c r="D91" s="38" t="s">
        <v>193</v>
      </c>
      <c r="E91" s="39" t="s">
        <v>402</v>
      </c>
      <c r="F91" s="40" t="s">
        <v>403</v>
      </c>
      <c r="G91" s="41" t="s">
        <v>73</v>
      </c>
      <c r="H91" s="42">
        <v>1</v>
      </c>
      <c r="I91" s="42">
        <v>1</v>
      </c>
      <c r="J91" s="43">
        <v>6016.77</v>
      </c>
      <c r="K91" s="44">
        <f t="shared" si="26"/>
        <v>6016.77</v>
      </c>
      <c r="L91" s="90">
        <f t="shared" si="34"/>
        <v>6016.77</v>
      </c>
      <c r="M91" s="90">
        <v>0</v>
      </c>
      <c r="N91" s="70">
        <v>0</v>
      </c>
      <c r="O91" s="71">
        <f t="shared" si="35"/>
        <v>0</v>
      </c>
      <c r="P91" s="72"/>
      <c r="Q91" s="73">
        <f t="shared" si="27"/>
        <v>0</v>
      </c>
      <c r="R91" s="70">
        <f t="shared" si="28"/>
        <v>0</v>
      </c>
      <c r="S91" s="74">
        <f t="shared" si="29"/>
        <v>0</v>
      </c>
      <c r="T91" s="75">
        <f t="shared" si="30"/>
        <v>0</v>
      </c>
      <c r="U91" s="76">
        <f t="shared" si="31"/>
        <v>1</v>
      </c>
      <c r="V91" s="77">
        <f t="shared" si="32"/>
        <v>6016.77</v>
      </c>
      <c r="W91" s="78">
        <f t="shared" si="33"/>
        <v>1</v>
      </c>
    </row>
    <row r="92" spans="2:23" s="5" customFormat="1" ht="16.5" customHeight="1" x14ac:dyDescent="0.35">
      <c r="B92" s="4"/>
      <c r="C92" s="38" t="s">
        <v>404</v>
      </c>
      <c r="D92" s="38" t="s">
        <v>193</v>
      </c>
      <c r="E92" s="39" t="s">
        <v>405</v>
      </c>
      <c r="F92" s="40" t="s">
        <v>406</v>
      </c>
      <c r="G92" s="41" t="s">
        <v>73</v>
      </c>
      <c r="H92" s="42">
        <v>1</v>
      </c>
      <c r="I92" s="42">
        <v>1</v>
      </c>
      <c r="J92" s="43">
        <v>8690.89</v>
      </c>
      <c r="K92" s="44">
        <f t="shared" si="26"/>
        <v>8690.89</v>
      </c>
      <c r="L92" s="90">
        <f t="shared" si="34"/>
        <v>8690.89</v>
      </c>
      <c r="M92" s="90">
        <v>0</v>
      </c>
      <c r="N92" s="70">
        <v>0</v>
      </c>
      <c r="O92" s="71">
        <f t="shared" si="35"/>
        <v>0</v>
      </c>
      <c r="P92" s="72"/>
      <c r="Q92" s="73">
        <f t="shared" si="27"/>
        <v>0</v>
      </c>
      <c r="R92" s="70">
        <f t="shared" si="28"/>
        <v>0</v>
      </c>
      <c r="S92" s="74">
        <f t="shared" si="29"/>
        <v>0</v>
      </c>
      <c r="T92" s="75">
        <f t="shared" si="30"/>
        <v>0</v>
      </c>
      <c r="U92" s="76">
        <f t="shared" si="31"/>
        <v>1</v>
      </c>
      <c r="V92" s="77">
        <f t="shared" si="32"/>
        <v>8690.89</v>
      </c>
      <c r="W92" s="78">
        <f t="shared" si="33"/>
        <v>1</v>
      </c>
    </row>
    <row r="93" spans="2:23" s="23" customFormat="1" ht="23" customHeight="1" x14ac:dyDescent="0.25">
      <c r="B93" s="22"/>
      <c r="D93" s="24" t="s">
        <v>27</v>
      </c>
      <c r="E93" s="36" t="s">
        <v>407</v>
      </c>
      <c r="F93" s="36" t="s">
        <v>408</v>
      </c>
      <c r="J93" s="26"/>
      <c r="K93" s="37">
        <f>SUM(K94:K113)</f>
        <v>179096.17000000004</v>
      </c>
      <c r="L93" s="37">
        <f>SUM(L94:L113)</f>
        <v>179096.16919999997</v>
      </c>
      <c r="M93" s="90">
        <v>0</v>
      </c>
      <c r="O93" s="37">
        <f>SUM(O94:O113)</f>
        <v>0</v>
      </c>
      <c r="Q93" s="37">
        <f>SUM(Q94:Q113)</f>
        <v>0</v>
      </c>
      <c r="S93" s="37">
        <f>SUM(S94:S113)</f>
        <v>0</v>
      </c>
      <c r="V93" s="37">
        <f>SUM(V94:V113)</f>
        <v>179096.16919999997</v>
      </c>
    </row>
    <row r="94" spans="2:23" s="5" customFormat="1" ht="24.15" customHeight="1" x14ac:dyDescent="0.35">
      <c r="B94" s="4"/>
      <c r="C94" s="28" t="s">
        <v>409</v>
      </c>
      <c r="D94" s="28" t="s">
        <v>32</v>
      </c>
      <c r="E94" s="29" t="s">
        <v>410</v>
      </c>
      <c r="F94" s="30" t="s">
        <v>411</v>
      </c>
      <c r="G94" s="31" t="s">
        <v>207</v>
      </c>
      <c r="H94" s="32">
        <v>217</v>
      </c>
      <c r="I94" s="32">
        <v>217</v>
      </c>
      <c r="J94" s="33">
        <v>33.43</v>
      </c>
      <c r="K94" s="34">
        <f t="shared" ref="K94:K113" si="36">ROUND(J94*H94,2)</f>
        <v>7254.31</v>
      </c>
      <c r="L94" s="90">
        <f t="shared" ref="L94:L113" si="37">I94*J94</f>
        <v>7254.3099999999995</v>
      </c>
      <c r="M94" s="90">
        <v>0</v>
      </c>
      <c r="N94" s="70">
        <v>0</v>
      </c>
      <c r="O94" s="71">
        <f t="shared" ref="O94:O113" si="38">N94*J94</f>
        <v>0</v>
      </c>
      <c r="P94" s="72"/>
      <c r="Q94" s="73">
        <f t="shared" ref="Q94:Q128" si="39">P94*J94</f>
        <v>0</v>
      </c>
      <c r="R94" s="70">
        <f t="shared" ref="R94:R113" si="40">P94+N94</f>
        <v>0</v>
      </c>
      <c r="S94" s="74">
        <f t="shared" ref="S94:S113" si="41">R94*J94</f>
        <v>0</v>
      </c>
      <c r="T94" s="75">
        <f t="shared" ref="T94:T113" si="42">S94/K94</f>
        <v>0</v>
      </c>
      <c r="U94" s="76">
        <f t="shared" ref="U94:U113" si="43">H94-R94</f>
        <v>217</v>
      </c>
      <c r="V94" s="77">
        <f t="shared" ref="V94:V113" si="44">U94*J94</f>
        <v>7254.3099999999995</v>
      </c>
      <c r="W94" s="78">
        <f t="shared" ref="W94:W113" si="45">U94/H94</f>
        <v>1</v>
      </c>
    </row>
    <row r="95" spans="2:23" s="5" customFormat="1" ht="33" customHeight="1" x14ac:dyDescent="0.35">
      <c r="B95" s="4"/>
      <c r="C95" s="28" t="s">
        <v>412</v>
      </c>
      <c r="D95" s="28" t="s">
        <v>32</v>
      </c>
      <c r="E95" s="29" t="s">
        <v>413</v>
      </c>
      <c r="F95" s="30" t="s">
        <v>414</v>
      </c>
      <c r="G95" s="31" t="s">
        <v>214</v>
      </c>
      <c r="H95" s="32">
        <v>4.34</v>
      </c>
      <c r="I95" s="32">
        <v>4.34</v>
      </c>
      <c r="J95" s="33">
        <v>1002.79</v>
      </c>
      <c r="K95" s="34">
        <f t="shared" si="36"/>
        <v>4352.1099999999997</v>
      </c>
      <c r="L95" s="90">
        <f t="shared" si="37"/>
        <v>4352.1085999999996</v>
      </c>
      <c r="M95" s="90">
        <v>0</v>
      </c>
      <c r="N95" s="70">
        <v>0</v>
      </c>
      <c r="O95" s="71">
        <f t="shared" si="38"/>
        <v>0</v>
      </c>
      <c r="P95" s="72"/>
      <c r="Q95" s="73">
        <f t="shared" si="39"/>
        <v>0</v>
      </c>
      <c r="R95" s="70">
        <f t="shared" si="40"/>
        <v>0</v>
      </c>
      <c r="S95" s="74">
        <f t="shared" si="41"/>
        <v>0</v>
      </c>
      <c r="T95" s="75">
        <f t="shared" si="42"/>
        <v>0</v>
      </c>
      <c r="U95" s="76">
        <f t="shared" si="43"/>
        <v>4.34</v>
      </c>
      <c r="V95" s="77">
        <f t="shared" si="44"/>
        <v>4352.1085999999996</v>
      </c>
      <c r="W95" s="78">
        <f t="shared" si="45"/>
        <v>1</v>
      </c>
    </row>
    <row r="96" spans="2:23" s="5" customFormat="1" ht="16.5" customHeight="1" x14ac:dyDescent="0.35">
      <c r="B96" s="4"/>
      <c r="C96" s="38" t="s">
        <v>415</v>
      </c>
      <c r="D96" s="38" t="s">
        <v>193</v>
      </c>
      <c r="E96" s="39" t="s">
        <v>416</v>
      </c>
      <c r="F96" s="40" t="s">
        <v>417</v>
      </c>
      <c r="G96" s="41" t="s">
        <v>214</v>
      </c>
      <c r="H96" s="42">
        <v>10.85</v>
      </c>
      <c r="I96" s="42">
        <v>10.85</v>
      </c>
      <c r="J96" s="43">
        <v>668.53</v>
      </c>
      <c r="K96" s="44">
        <f t="shared" si="36"/>
        <v>7253.55</v>
      </c>
      <c r="L96" s="90">
        <f t="shared" si="37"/>
        <v>7253.5504999999994</v>
      </c>
      <c r="M96" s="90">
        <v>0</v>
      </c>
      <c r="N96" s="70">
        <v>0</v>
      </c>
      <c r="O96" s="71">
        <f t="shared" si="38"/>
        <v>0</v>
      </c>
      <c r="P96" s="72"/>
      <c r="Q96" s="73">
        <f t="shared" si="39"/>
        <v>0</v>
      </c>
      <c r="R96" s="70">
        <f t="shared" si="40"/>
        <v>0</v>
      </c>
      <c r="S96" s="74">
        <f t="shared" si="41"/>
        <v>0</v>
      </c>
      <c r="T96" s="75">
        <f t="shared" si="42"/>
        <v>0</v>
      </c>
      <c r="U96" s="76">
        <f t="shared" si="43"/>
        <v>10.85</v>
      </c>
      <c r="V96" s="77">
        <f t="shared" si="44"/>
        <v>7253.5504999999994</v>
      </c>
      <c r="W96" s="78">
        <f t="shared" si="45"/>
        <v>1</v>
      </c>
    </row>
    <row r="97" spans="2:23" s="5" customFormat="1" ht="16.5" customHeight="1" x14ac:dyDescent="0.35">
      <c r="B97" s="4"/>
      <c r="C97" s="38" t="s">
        <v>418</v>
      </c>
      <c r="D97" s="38" t="s">
        <v>193</v>
      </c>
      <c r="E97" s="39" t="s">
        <v>419</v>
      </c>
      <c r="F97" s="40" t="s">
        <v>420</v>
      </c>
      <c r="G97" s="41" t="s">
        <v>214</v>
      </c>
      <c r="H97" s="42">
        <v>10.85</v>
      </c>
      <c r="I97" s="42">
        <v>10.85</v>
      </c>
      <c r="J97" s="43">
        <v>869.09</v>
      </c>
      <c r="K97" s="44">
        <f t="shared" si="36"/>
        <v>9429.6299999999992</v>
      </c>
      <c r="L97" s="90">
        <f t="shared" si="37"/>
        <v>9429.6265000000003</v>
      </c>
      <c r="M97" s="90">
        <v>0</v>
      </c>
      <c r="N97" s="70">
        <v>0</v>
      </c>
      <c r="O97" s="71">
        <f t="shared" si="38"/>
        <v>0</v>
      </c>
      <c r="P97" s="72"/>
      <c r="Q97" s="73">
        <f t="shared" si="39"/>
        <v>0</v>
      </c>
      <c r="R97" s="70">
        <f t="shared" si="40"/>
        <v>0</v>
      </c>
      <c r="S97" s="74">
        <f t="shared" si="41"/>
        <v>0</v>
      </c>
      <c r="T97" s="75">
        <f t="shared" si="42"/>
        <v>0</v>
      </c>
      <c r="U97" s="76">
        <f t="shared" si="43"/>
        <v>10.85</v>
      </c>
      <c r="V97" s="77">
        <f t="shared" si="44"/>
        <v>9429.6265000000003</v>
      </c>
      <c r="W97" s="78">
        <f t="shared" si="45"/>
        <v>1</v>
      </c>
    </row>
    <row r="98" spans="2:23" s="5" customFormat="1" ht="33" customHeight="1" x14ac:dyDescent="0.35">
      <c r="B98" s="4"/>
      <c r="C98" s="28" t="s">
        <v>421</v>
      </c>
      <c r="D98" s="28" t="s">
        <v>32</v>
      </c>
      <c r="E98" s="29" t="s">
        <v>422</v>
      </c>
      <c r="F98" s="30" t="s">
        <v>423</v>
      </c>
      <c r="G98" s="31" t="s">
        <v>272</v>
      </c>
      <c r="H98" s="32">
        <v>480</v>
      </c>
      <c r="I98" s="32">
        <v>480</v>
      </c>
      <c r="J98" s="33">
        <v>33.43</v>
      </c>
      <c r="K98" s="34">
        <f t="shared" si="36"/>
        <v>16046.4</v>
      </c>
      <c r="L98" s="90">
        <f t="shared" si="37"/>
        <v>16046.4</v>
      </c>
      <c r="M98" s="90">
        <v>0</v>
      </c>
      <c r="N98" s="70">
        <v>0</v>
      </c>
      <c r="O98" s="71">
        <f t="shared" si="38"/>
        <v>0</v>
      </c>
      <c r="P98" s="72"/>
      <c r="Q98" s="73">
        <f t="shared" si="39"/>
        <v>0</v>
      </c>
      <c r="R98" s="70">
        <f t="shared" si="40"/>
        <v>0</v>
      </c>
      <c r="S98" s="74">
        <f t="shared" si="41"/>
        <v>0</v>
      </c>
      <c r="T98" s="75">
        <f t="shared" si="42"/>
        <v>0</v>
      </c>
      <c r="U98" s="76">
        <f t="shared" si="43"/>
        <v>480</v>
      </c>
      <c r="V98" s="77">
        <f t="shared" si="44"/>
        <v>16046.4</v>
      </c>
      <c r="W98" s="78">
        <f t="shared" si="45"/>
        <v>1</v>
      </c>
    </row>
    <row r="99" spans="2:23" s="5" customFormat="1" ht="21.75" customHeight="1" x14ac:dyDescent="0.35">
      <c r="B99" s="4"/>
      <c r="C99" s="28" t="s">
        <v>424</v>
      </c>
      <c r="D99" s="28" t="s">
        <v>32</v>
      </c>
      <c r="E99" s="29" t="s">
        <v>425</v>
      </c>
      <c r="F99" s="30" t="s">
        <v>426</v>
      </c>
      <c r="G99" s="31" t="s">
        <v>207</v>
      </c>
      <c r="H99" s="32">
        <v>217</v>
      </c>
      <c r="I99" s="32">
        <v>217</v>
      </c>
      <c r="J99" s="33">
        <v>15.38</v>
      </c>
      <c r="K99" s="34">
        <f t="shared" si="36"/>
        <v>3337.46</v>
      </c>
      <c r="L99" s="90">
        <f t="shared" si="37"/>
        <v>3337.46</v>
      </c>
      <c r="M99" s="90">
        <v>0</v>
      </c>
      <c r="N99" s="70">
        <v>0</v>
      </c>
      <c r="O99" s="71">
        <f t="shared" si="38"/>
        <v>0</v>
      </c>
      <c r="P99" s="72"/>
      <c r="Q99" s="73">
        <f t="shared" si="39"/>
        <v>0</v>
      </c>
      <c r="R99" s="70">
        <f t="shared" si="40"/>
        <v>0</v>
      </c>
      <c r="S99" s="74">
        <f t="shared" si="41"/>
        <v>0</v>
      </c>
      <c r="T99" s="75">
        <f t="shared" si="42"/>
        <v>0</v>
      </c>
      <c r="U99" s="76">
        <f t="shared" si="43"/>
        <v>217</v>
      </c>
      <c r="V99" s="77">
        <f t="shared" si="44"/>
        <v>3337.46</v>
      </c>
      <c r="W99" s="78">
        <f t="shared" si="45"/>
        <v>1</v>
      </c>
    </row>
    <row r="100" spans="2:23" s="5" customFormat="1" ht="21.75" customHeight="1" x14ac:dyDescent="0.35">
      <c r="B100" s="4"/>
      <c r="C100" s="28" t="s">
        <v>427</v>
      </c>
      <c r="D100" s="28" t="s">
        <v>32</v>
      </c>
      <c r="E100" s="29" t="s">
        <v>428</v>
      </c>
      <c r="F100" s="30" t="s">
        <v>429</v>
      </c>
      <c r="G100" s="31" t="s">
        <v>207</v>
      </c>
      <c r="H100" s="32">
        <v>217</v>
      </c>
      <c r="I100" s="32">
        <v>217</v>
      </c>
      <c r="J100" s="33">
        <v>6.69</v>
      </c>
      <c r="K100" s="34">
        <f t="shared" si="36"/>
        <v>1451.73</v>
      </c>
      <c r="L100" s="90">
        <f t="shared" si="37"/>
        <v>1451.73</v>
      </c>
      <c r="M100" s="90">
        <v>0</v>
      </c>
      <c r="N100" s="70">
        <v>0</v>
      </c>
      <c r="O100" s="71">
        <f t="shared" si="38"/>
        <v>0</v>
      </c>
      <c r="P100" s="72"/>
      <c r="Q100" s="73">
        <f t="shared" si="39"/>
        <v>0</v>
      </c>
      <c r="R100" s="70">
        <f t="shared" si="40"/>
        <v>0</v>
      </c>
      <c r="S100" s="74">
        <f t="shared" si="41"/>
        <v>0</v>
      </c>
      <c r="T100" s="75">
        <f t="shared" si="42"/>
        <v>0</v>
      </c>
      <c r="U100" s="76">
        <f t="shared" si="43"/>
        <v>217</v>
      </c>
      <c r="V100" s="77">
        <f t="shared" si="44"/>
        <v>1451.73</v>
      </c>
      <c r="W100" s="78">
        <f t="shared" si="45"/>
        <v>1</v>
      </c>
    </row>
    <row r="101" spans="2:23" s="5" customFormat="1" ht="21.75" customHeight="1" x14ac:dyDescent="0.35">
      <c r="B101" s="4"/>
      <c r="C101" s="28" t="s">
        <v>430</v>
      </c>
      <c r="D101" s="28" t="s">
        <v>32</v>
      </c>
      <c r="E101" s="29" t="s">
        <v>428</v>
      </c>
      <c r="F101" s="30" t="s">
        <v>429</v>
      </c>
      <c r="G101" s="31" t="s">
        <v>207</v>
      </c>
      <c r="H101" s="32">
        <v>217</v>
      </c>
      <c r="I101" s="32">
        <v>217</v>
      </c>
      <c r="J101" s="33">
        <v>6.69</v>
      </c>
      <c r="K101" s="34">
        <f t="shared" si="36"/>
        <v>1451.73</v>
      </c>
      <c r="L101" s="90">
        <f t="shared" si="37"/>
        <v>1451.73</v>
      </c>
      <c r="M101" s="90">
        <v>0</v>
      </c>
      <c r="N101" s="70">
        <v>0</v>
      </c>
      <c r="O101" s="71">
        <f t="shared" si="38"/>
        <v>0</v>
      </c>
      <c r="P101" s="72"/>
      <c r="Q101" s="73">
        <f t="shared" si="39"/>
        <v>0</v>
      </c>
      <c r="R101" s="70">
        <f t="shared" si="40"/>
        <v>0</v>
      </c>
      <c r="S101" s="74">
        <f t="shared" si="41"/>
        <v>0</v>
      </c>
      <c r="T101" s="75">
        <f t="shared" si="42"/>
        <v>0</v>
      </c>
      <c r="U101" s="76">
        <f t="shared" si="43"/>
        <v>217</v>
      </c>
      <c r="V101" s="77">
        <f t="shared" si="44"/>
        <v>1451.73</v>
      </c>
      <c r="W101" s="78">
        <f t="shared" si="45"/>
        <v>1</v>
      </c>
    </row>
    <row r="102" spans="2:23" s="5" customFormat="1" ht="24.15" customHeight="1" x14ac:dyDescent="0.35">
      <c r="B102" s="4"/>
      <c r="C102" s="28" t="s">
        <v>431</v>
      </c>
      <c r="D102" s="28" t="s">
        <v>32</v>
      </c>
      <c r="E102" s="29" t="s">
        <v>432</v>
      </c>
      <c r="F102" s="30" t="s">
        <v>433</v>
      </c>
      <c r="G102" s="31" t="s">
        <v>272</v>
      </c>
      <c r="H102" s="32">
        <v>480</v>
      </c>
      <c r="I102" s="32">
        <v>480</v>
      </c>
      <c r="J102" s="33">
        <v>33.43</v>
      </c>
      <c r="K102" s="34">
        <f t="shared" si="36"/>
        <v>16046.4</v>
      </c>
      <c r="L102" s="90">
        <f t="shared" si="37"/>
        <v>16046.4</v>
      </c>
      <c r="M102" s="90">
        <v>0</v>
      </c>
      <c r="N102" s="70">
        <v>0</v>
      </c>
      <c r="O102" s="71">
        <f t="shared" si="38"/>
        <v>0</v>
      </c>
      <c r="P102" s="72"/>
      <c r="Q102" s="73">
        <f t="shared" si="39"/>
        <v>0</v>
      </c>
      <c r="R102" s="70">
        <f t="shared" si="40"/>
        <v>0</v>
      </c>
      <c r="S102" s="74">
        <f t="shared" si="41"/>
        <v>0</v>
      </c>
      <c r="T102" s="75">
        <f t="shared" si="42"/>
        <v>0</v>
      </c>
      <c r="U102" s="76">
        <f t="shared" si="43"/>
        <v>480</v>
      </c>
      <c r="V102" s="77">
        <f t="shared" si="44"/>
        <v>16046.4</v>
      </c>
      <c r="W102" s="78">
        <f t="shared" si="45"/>
        <v>1</v>
      </c>
    </row>
    <row r="103" spans="2:23" s="5" customFormat="1" ht="33" customHeight="1" x14ac:dyDescent="0.35">
      <c r="B103" s="4"/>
      <c r="C103" s="28" t="s">
        <v>434</v>
      </c>
      <c r="D103" s="28" t="s">
        <v>32</v>
      </c>
      <c r="E103" s="29" t="s">
        <v>435</v>
      </c>
      <c r="F103" s="30" t="s">
        <v>436</v>
      </c>
      <c r="G103" s="31" t="s">
        <v>207</v>
      </c>
      <c r="H103" s="32">
        <v>217</v>
      </c>
      <c r="I103" s="32">
        <v>217</v>
      </c>
      <c r="J103" s="33">
        <v>2.67</v>
      </c>
      <c r="K103" s="34">
        <f t="shared" si="36"/>
        <v>579.39</v>
      </c>
      <c r="L103" s="90">
        <f t="shared" si="37"/>
        <v>579.39</v>
      </c>
      <c r="M103" s="90">
        <v>0</v>
      </c>
      <c r="N103" s="70">
        <v>0</v>
      </c>
      <c r="O103" s="71">
        <f t="shared" si="38"/>
        <v>0</v>
      </c>
      <c r="P103" s="72"/>
      <c r="Q103" s="73">
        <f t="shared" si="39"/>
        <v>0</v>
      </c>
      <c r="R103" s="70">
        <f t="shared" si="40"/>
        <v>0</v>
      </c>
      <c r="S103" s="74">
        <f t="shared" si="41"/>
        <v>0</v>
      </c>
      <c r="T103" s="75">
        <f t="shared" si="42"/>
        <v>0</v>
      </c>
      <c r="U103" s="76">
        <f t="shared" si="43"/>
        <v>217</v>
      </c>
      <c r="V103" s="77">
        <f t="shared" si="44"/>
        <v>579.39</v>
      </c>
      <c r="W103" s="78">
        <f t="shared" si="45"/>
        <v>1</v>
      </c>
    </row>
    <row r="104" spans="2:23" s="5" customFormat="1" ht="21.75" customHeight="1" x14ac:dyDescent="0.35">
      <c r="B104" s="4"/>
      <c r="C104" s="28" t="s">
        <v>437</v>
      </c>
      <c r="D104" s="28" t="s">
        <v>32</v>
      </c>
      <c r="E104" s="29" t="s">
        <v>438</v>
      </c>
      <c r="F104" s="30" t="s">
        <v>439</v>
      </c>
      <c r="G104" s="31" t="s">
        <v>272</v>
      </c>
      <c r="H104" s="32">
        <v>480</v>
      </c>
      <c r="I104" s="32">
        <v>480</v>
      </c>
      <c r="J104" s="33">
        <v>6.69</v>
      </c>
      <c r="K104" s="34">
        <f t="shared" si="36"/>
        <v>3211.2</v>
      </c>
      <c r="L104" s="90">
        <f t="shared" si="37"/>
        <v>3211.2000000000003</v>
      </c>
      <c r="M104" s="90">
        <v>0</v>
      </c>
      <c r="N104" s="70">
        <v>0</v>
      </c>
      <c r="O104" s="71">
        <f t="shared" si="38"/>
        <v>0</v>
      </c>
      <c r="P104" s="72"/>
      <c r="Q104" s="73">
        <f t="shared" si="39"/>
        <v>0</v>
      </c>
      <c r="R104" s="70">
        <f t="shared" si="40"/>
        <v>0</v>
      </c>
      <c r="S104" s="74">
        <f t="shared" si="41"/>
        <v>0</v>
      </c>
      <c r="T104" s="75">
        <f t="shared" si="42"/>
        <v>0</v>
      </c>
      <c r="U104" s="76">
        <f t="shared" si="43"/>
        <v>480</v>
      </c>
      <c r="V104" s="77">
        <f t="shared" si="44"/>
        <v>3211.2000000000003</v>
      </c>
      <c r="W104" s="78">
        <f t="shared" si="45"/>
        <v>1</v>
      </c>
    </row>
    <row r="105" spans="2:23" s="5" customFormat="1" ht="16.5" customHeight="1" x14ac:dyDescent="0.35">
      <c r="B105" s="4"/>
      <c r="C105" s="38" t="s">
        <v>440</v>
      </c>
      <c r="D105" s="38" t="s">
        <v>193</v>
      </c>
      <c r="E105" s="39" t="s">
        <v>441</v>
      </c>
      <c r="F105" s="40" t="s">
        <v>442</v>
      </c>
      <c r="G105" s="41" t="s">
        <v>73</v>
      </c>
      <c r="H105" s="42">
        <v>51</v>
      </c>
      <c r="I105" s="42">
        <v>51</v>
      </c>
      <c r="J105" s="43">
        <v>167.13</v>
      </c>
      <c r="K105" s="44">
        <f t="shared" si="36"/>
        <v>8523.6299999999992</v>
      </c>
      <c r="L105" s="90">
        <f t="shared" si="37"/>
        <v>8523.6299999999992</v>
      </c>
      <c r="M105" s="90">
        <v>0</v>
      </c>
      <c r="N105" s="70">
        <v>0</v>
      </c>
      <c r="O105" s="71">
        <f t="shared" si="38"/>
        <v>0</v>
      </c>
      <c r="P105" s="72"/>
      <c r="Q105" s="73">
        <f t="shared" si="39"/>
        <v>0</v>
      </c>
      <c r="R105" s="70">
        <f t="shared" si="40"/>
        <v>0</v>
      </c>
      <c r="S105" s="74">
        <f t="shared" si="41"/>
        <v>0</v>
      </c>
      <c r="T105" s="75">
        <f t="shared" si="42"/>
        <v>0</v>
      </c>
      <c r="U105" s="76">
        <f t="shared" si="43"/>
        <v>51</v>
      </c>
      <c r="V105" s="77">
        <f t="shared" si="44"/>
        <v>8523.6299999999992</v>
      </c>
      <c r="W105" s="78">
        <f t="shared" si="45"/>
        <v>1</v>
      </c>
    </row>
    <row r="106" spans="2:23" s="5" customFormat="1" ht="16.5" customHeight="1" x14ac:dyDescent="0.35">
      <c r="B106" s="4"/>
      <c r="C106" s="38" t="s">
        <v>443</v>
      </c>
      <c r="D106" s="38" t="s">
        <v>193</v>
      </c>
      <c r="E106" s="39" t="s">
        <v>444</v>
      </c>
      <c r="F106" s="40" t="s">
        <v>445</v>
      </c>
      <c r="G106" s="41" t="s">
        <v>73</v>
      </c>
      <c r="H106" s="42">
        <v>429</v>
      </c>
      <c r="I106" s="42">
        <v>429</v>
      </c>
      <c r="J106" s="43">
        <v>100.28</v>
      </c>
      <c r="K106" s="44">
        <f t="shared" si="36"/>
        <v>43020.12</v>
      </c>
      <c r="L106" s="90">
        <f t="shared" si="37"/>
        <v>43020.12</v>
      </c>
      <c r="M106" s="90">
        <v>0</v>
      </c>
      <c r="N106" s="70">
        <v>0</v>
      </c>
      <c r="O106" s="71">
        <f t="shared" si="38"/>
        <v>0</v>
      </c>
      <c r="P106" s="72"/>
      <c r="Q106" s="73">
        <f t="shared" si="39"/>
        <v>0</v>
      </c>
      <c r="R106" s="70">
        <f t="shared" si="40"/>
        <v>0</v>
      </c>
      <c r="S106" s="74">
        <f t="shared" si="41"/>
        <v>0</v>
      </c>
      <c r="T106" s="75">
        <f t="shared" si="42"/>
        <v>0</v>
      </c>
      <c r="U106" s="76">
        <f t="shared" si="43"/>
        <v>429</v>
      </c>
      <c r="V106" s="77">
        <f t="shared" si="44"/>
        <v>43020.12</v>
      </c>
      <c r="W106" s="78">
        <f t="shared" si="45"/>
        <v>1</v>
      </c>
    </row>
    <row r="107" spans="2:23" s="5" customFormat="1" ht="24.15" customHeight="1" x14ac:dyDescent="0.35">
      <c r="B107" s="4"/>
      <c r="C107" s="28" t="s">
        <v>446</v>
      </c>
      <c r="D107" s="28" t="s">
        <v>32</v>
      </c>
      <c r="E107" s="29" t="s">
        <v>324</v>
      </c>
      <c r="F107" s="30" t="s">
        <v>325</v>
      </c>
      <c r="G107" s="31" t="s">
        <v>207</v>
      </c>
      <c r="H107" s="32">
        <v>217</v>
      </c>
      <c r="I107" s="32">
        <v>217</v>
      </c>
      <c r="J107" s="33">
        <v>46.8</v>
      </c>
      <c r="K107" s="34">
        <f t="shared" si="36"/>
        <v>10155.6</v>
      </c>
      <c r="L107" s="90">
        <f t="shared" si="37"/>
        <v>10155.599999999999</v>
      </c>
      <c r="M107" s="90">
        <v>0</v>
      </c>
      <c r="N107" s="70">
        <v>0</v>
      </c>
      <c r="O107" s="71">
        <f t="shared" si="38"/>
        <v>0</v>
      </c>
      <c r="P107" s="72"/>
      <c r="Q107" s="73">
        <f t="shared" si="39"/>
        <v>0</v>
      </c>
      <c r="R107" s="70">
        <f t="shared" si="40"/>
        <v>0</v>
      </c>
      <c r="S107" s="74">
        <f t="shared" si="41"/>
        <v>0</v>
      </c>
      <c r="T107" s="75">
        <f t="shared" si="42"/>
        <v>0</v>
      </c>
      <c r="U107" s="76">
        <f t="shared" si="43"/>
        <v>217</v>
      </c>
      <c r="V107" s="77">
        <f t="shared" si="44"/>
        <v>10155.599999999999</v>
      </c>
      <c r="W107" s="78">
        <f t="shared" si="45"/>
        <v>1</v>
      </c>
    </row>
    <row r="108" spans="2:23" s="5" customFormat="1" ht="16.5" customHeight="1" x14ac:dyDescent="0.35">
      <c r="B108" s="4"/>
      <c r="C108" s="38" t="s">
        <v>447</v>
      </c>
      <c r="D108" s="38" t="s">
        <v>193</v>
      </c>
      <c r="E108" s="39" t="s">
        <v>326</v>
      </c>
      <c r="F108" s="40" t="s">
        <v>327</v>
      </c>
      <c r="G108" s="41" t="s">
        <v>214</v>
      </c>
      <c r="H108" s="42">
        <v>21.7</v>
      </c>
      <c r="I108" s="42">
        <v>21.7</v>
      </c>
      <c r="J108" s="43">
        <v>1671.32</v>
      </c>
      <c r="K108" s="44">
        <f t="shared" si="36"/>
        <v>36267.64</v>
      </c>
      <c r="L108" s="90">
        <f t="shared" si="37"/>
        <v>36267.644</v>
      </c>
      <c r="M108" s="90">
        <v>0</v>
      </c>
      <c r="N108" s="70">
        <v>0</v>
      </c>
      <c r="O108" s="71">
        <f t="shared" si="38"/>
        <v>0</v>
      </c>
      <c r="P108" s="72"/>
      <c r="Q108" s="73">
        <f t="shared" si="39"/>
        <v>0</v>
      </c>
      <c r="R108" s="70">
        <f t="shared" si="40"/>
        <v>0</v>
      </c>
      <c r="S108" s="74">
        <f t="shared" si="41"/>
        <v>0</v>
      </c>
      <c r="T108" s="75">
        <f t="shared" si="42"/>
        <v>0</v>
      </c>
      <c r="U108" s="76">
        <f t="shared" si="43"/>
        <v>21.7</v>
      </c>
      <c r="V108" s="77">
        <f t="shared" si="44"/>
        <v>36267.644</v>
      </c>
      <c r="W108" s="78">
        <f t="shared" si="45"/>
        <v>1</v>
      </c>
    </row>
    <row r="109" spans="2:23" s="5" customFormat="1" ht="24.15" customHeight="1" x14ac:dyDescent="0.35">
      <c r="B109" s="4"/>
      <c r="C109" s="28" t="s">
        <v>448</v>
      </c>
      <c r="D109" s="28" t="s">
        <v>32</v>
      </c>
      <c r="E109" s="29" t="s">
        <v>328</v>
      </c>
      <c r="F109" s="30" t="s">
        <v>329</v>
      </c>
      <c r="G109" s="31" t="s">
        <v>223</v>
      </c>
      <c r="H109" s="32">
        <v>0.02</v>
      </c>
      <c r="I109" s="32">
        <v>0.02</v>
      </c>
      <c r="J109" s="33">
        <v>46797.08</v>
      </c>
      <c r="K109" s="34">
        <f t="shared" si="36"/>
        <v>935.94</v>
      </c>
      <c r="L109" s="90">
        <f t="shared" si="37"/>
        <v>935.94160000000011</v>
      </c>
      <c r="M109" s="90">
        <v>0</v>
      </c>
      <c r="N109" s="70">
        <v>0</v>
      </c>
      <c r="O109" s="71">
        <f t="shared" si="38"/>
        <v>0</v>
      </c>
      <c r="P109" s="72"/>
      <c r="Q109" s="73">
        <f t="shared" si="39"/>
        <v>0</v>
      </c>
      <c r="R109" s="70">
        <f t="shared" si="40"/>
        <v>0</v>
      </c>
      <c r="S109" s="74">
        <f t="shared" si="41"/>
        <v>0</v>
      </c>
      <c r="T109" s="75">
        <f t="shared" si="42"/>
        <v>0</v>
      </c>
      <c r="U109" s="76">
        <f t="shared" si="43"/>
        <v>0.02</v>
      </c>
      <c r="V109" s="77">
        <f t="shared" si="44"/>
        <v>935.94160000000011</v>
      </c>
      <c r="W109" s="78">
        <f t="shared" si="45"/>
        <v>1</v>
      </c>
    </row>
    <row r="110" spans="2:23" s="5" customFormat="1" ht="24.15" customHeight="1" x14ac:dyDescent="0.35">
      <c r="B110" s="4"/>
      <c r="C110" s="38" t="s">
        <v>449</v>
      </c>
      <c r="D110" s="38" t="s">
        <v>193</v>
      </c>
      <c r="E110" s="39" t="s">
        <v>330</v>
      </c>
      <c r="F110" s="40" t="s">
        <v>331</v>
      </c>
      <c r="G110" s="41" t="s">
        <v>73</v>
      </c>
      <c r="H110" s="42">
        <v>1920</v>
      </c>
      <c r="I110" s="42">
        <v>1920</v>
      </c>
      <c r="J110" s="43">
        <v>2.67</v>
      </c>
      <c r="K110" s="44">
        <f t="shared" si="36"/>
        <v>5126.3999999999996</v>
      </c>
      <c r="L110" s="90">
        <f t="shared" si="37"/>
        <v>5126.3999999999996</v>
      </c>
      <c r="M110" s="90">
        <v>0</v>
      </c>
      <c r="N110" s="70">
        <v>0</v>
      </c>
      <c r="O110" s="71">
        <f t="shared" si="38"/>
        <v>0</v>
      </c>
      <c r="P110" s="72"/>
      <c r="Q110" s="73">
        <f t="shared" si="39"/>
        <v>0</v>
      </c>
      <c r="R110" s="70">
        <f t="shared" si="40"/>
        <v>0</v>
      </c>
      <c r="S110" s="74">
        <f t="shared" si="41"/>
        <v>0</v>
      </c>
      <c r="T110" s="75">
        <f t="shared" si="42"/>
        <v>0</v>
      </c>
      <c r="U110" s="76">
        <f t="shared" si="43"/>
        <v>1920</v>
      </c>
      <c r="V110" s="77">
        <f t="shared" si="44"/>
        <v>5126.3999999999996</v>
      </c>
      <c r="W110" s="78">
        <f t="shared" si="45"/>
        <v>1</v>
      </c>
    </row>
    <row r="111" spans="2:23" s="5" customFormat="1" ht="16.5" customHeight="1" x14ac:dyDescent="0.35">
      <c r="B111" s="4"/>
      <c r="C111" s="28" t="s">
        <v>450</v>
      </c>
      <c r="D111" s="28" t="s">
        <v>32</v>
      </c>
      <c r="E111" s="29" t="s">
        <v>334</v>
      </c>
      <c r="F111" s="30" t="s">
        <v>335</v>
      </c>
      <c r="G111" s="31" t="s">
        <v>214</v>
      </c>
      <c r="H111" s="32">
        <v>4.8</v>
      </c>
      <c r="I111" s="32">
        <v>4.8</v>
      </c>
      <c r="J111" s="33">
        <v>467.97</v>
      </c>
      <c r="K111" s="34">
        <f t="shared" si="36"/>
        <v>2246.2600000000002</v>
      </c>
      <c r="L111" s="90">
        <f t="shared" si="37"/>
        <v>2246.2559999999999</v>
      </c>
      <c r="M111" s="90">
        <v>0</v>
      </c>
      <c r="N111" s="70">
        <v>0</v>
      </c>
      <c r="O111" s="71">
        <f t="shared" si="38"/>
        <v>0</v>
      </c>
      <c r="P111" s="72"/>
      <c r="Q111" s="73">
        <f t="shared" si="39"/>
        <v>0</v>
      </c>
      <c r="R111" s="70">
        <f t="shared" si="40"/>
        <v>0</v>
      </c>
      <c r="S111" s="74">
        <f t="shared" si="41"/>
        <v>0</v>
      </c>
      <c r="T111" s="75">
        <f t="shared" si="42"/>
        <v>0</v>
      </c>
      <c r="U111" s="76">
        <f t="shared" si="43"/>
        <v>4.8</v>
      </c>
      <c r="V111" s="77">
        <f t="shared" si="44"/>
        <v>2246.2559999999999</v>
      </c>
      <c r="W111" s="78">
        <f t="shared" si="45"/>
        <v>1</v>
      </c>
    </row>
    <row r="112" spans="2:23" s="5" customFormat="1" ht="21.75" customHeight="1" x14ac:dyDescent="0.35">
      <c r="B112" s="4"/>
      <c r="C112" s="28" t="s">
        <v>451</v>
      </c>
      <c r="D112" s="28" t="s">
        <v>32</v>
      </c>
      <c r="E112" s="29" t="s">
        <v>336</v>
      </c>
      <c r="F112" s="30" t="s">
        <v>337</v>
      </c>
      <c r="G112" s="31" t="s">
        <v>214</v>
      </c>
      <c r="H112" s="32">
        <v>4.8</v>
      </c>
      <c r="I112" s="32">
        <v>4.8</v>
      </c>
      <c r="J112" s="33">
        <v>334.26</v>
      </c>
      <c r="K112" s="34">
        <f t="shared" si="36"/>
        <v>1604.45</v>
      </c>
      <c r="L112" s="90">
        <f t="shared" si="37"/>
        <v>1604.4479999999999</v>
      </c>
      <c r="M112" s="90">
        <v>0</v>
      </c>
      <c r="N112" s="70">
        <v>0</v>
      </c>
      <c r="O112" s="71">
        <f t="shared" si="38"/>
        <v>0</v>
      </c>
      <c r="P112" s="72"/>
      <c r="Q112" s="73">
        <f t="shared" si="39"/>
        <v>0</v>
      </c>
      <c r="R112" s="70">
        <f t="shared" si="40"/>
        <v>0</v>
      </c>
      <c r="S112" s="74">
        <f t="shared" si="41"/>
        <v>0</v>
      </c>
      <c r="T112" s="75">
        <f t="shared" si="42"/>
        <v>0</v>
      </c>
      <c r="U112" s="76">
        <f t="shared" si="43"/>
        <v>4.8</v>
      </c>
      <c r="V112" s="77">
        <f t="shared" si="44"/>
        <v>1604.4479999999999</v>
      </c>
      <c r="W112" s="78">
        <f t="shared" si="45"/>
        <v>1</v>
      </c>
    </row>
    <row r="113" spans="2:23" s="5" customFormat="1" ht="16.5" customHeight="1" x14ac:dyDescent="0.35">
      <c r="B113" s="4"/>
      <c r="C113" s="38" t="s">
        <v>452</v>
      </c>
      <c r="D113" s="38" t="s">
        <v>193</v>
      </c>
      <c r="E113" s="39" t="s">
        <v>394</v>
      </c>
      <c r="F113" s="40" t="s">
        <v>339</v>
      </c>
      <c r="G113" s="41" t="s">
        <v>214</v>
      </c>
      <c r="H113" s="42">
        <v>4.8</v>
      </c>
      <c r="I113" s="42">
        <v>4.8</v>
      </c>
      <c r="J113" s="43">
        <v>167.13</v>
      </c>
      <c r="K113" s="44">
        <f t="shared" si="36"/>
        <v>802.22</v>
      </c>
      <c r="L113" s="90">
        <f t="shared" si="37"/>
        <v>802.22399999999993</v>
      </c>
      <c r="M113" s="90">
        <v>0</v>
      </c>
      <c r="N113" s="70">
        <v>0</v>
      </c>
      <c r="O113" s="71">
        <f t="shared" si="38"/>
        <v>0</v>
      </c>
      <c r="P113" s="72"/>
      <c r="Q113" s="73">
        <f t="shared" si="39"/>
        <v>0</v>
      </c>
      <c r="R113" s="70">
        <f t="shared" si="40"/>
        <v>0</v>
      </c>
      <c r="S113" s="74">
        <f t="shared" si="41"/>
        <v>0</v>
      </c>
      <c r="T113" s="75">
        <f t="shared" si="42"/>
        <v>0</v>
      </c>
      <c r="U113" s="76">
        <f t="shared" si="43"/>
        <v>4.8</v>
      </c>
      <c r="V113" s="77">
        <f t="shared" si="44"/>
        <v>802.22399999999993</v>
      </c>
      <c r="W113" s="78">
        <f t="shared" si="45"/>
        <v>1</v>
      </c>
    </row>
    <row r="114" spans="2:23" s="23" customFormat="1" ht="23" customHeight="1" x14ac:dyDescent="0.25">
      <c r="B114" s="22"/>
      <c r="D114" s="24" t="s">
        <v>27</v>
      </c>
      <c r="E114" s="36" t="s">
        <v>453</v>
      </c>
      <c r="F114" s="36" t="s">
        <v>454</v>
      </c>
      <c r="J114" s="26"/>
      <c r="K114" s="37">
        <f>SUM(K115:K128)</f>
        <v>33769.229999999996</v>
      </c>
      <c r="L114" s="37">
        <f>SUM(L115:L128)</f>
        <v>33769.23339999999</v>
      </c>
      <c r="M114" s="90">
        <v>0</v>
      </c>
      <c r="O114" s="37">
        <f>SUM(O115:O128)</f>
        <v>0</v>
      </c>
      <c r="Q114" s="37">
        <f>SUM(Q115:Q128)</f>
        <v>33769.23339999999</v>
      </c>
      <c r="S114" s="37">
        <f>SUM(S115:S128)</f>
        <v>33769.23339999999</v>
      </c>
      <c r="V114" s="37">
        <f>SUM(V115:V128)</f>
        <v>0</v>
      </c>
    </row>
    <row r="115" spans="2:23" s="5" customFormat="1" ht="33" customHeight="1" x14ac:dyDescent="0.35">
      <c r="B115" s="4"/>
      <c r="C115" s="28" t="s">
        <v>455</v>
      </c>
      <c r="D115" s="28" t="s">
        <v>32</v>
      </c>
      <c r="E115" s="29" t="s">
        <v>413</v>
      </c>
      <c r="F115" s="30" t="s">
        <v>414</v>
      </c>
      <c r="G115" s="31" t="s">
        <v>214</v>
      </c>
      <c r="H115" s="32">
        <v>4.8</v>
      </c>
      <c r="I115" s="32">
        <v>4.8</v>
      </c>
      <c r="J115" s="33">
        <v>1002.79</v>
      </c>
      <c r="K115" s="34">
        <f t="shared" ref="K115:K128" si="46">ROUND(J115*H115,2)</f>
        <v>4813.3900000000003</v>
      </c>
      <c r="L115" s="90">
        <f t="shared" ref="L115:L128" si="47">I115*J115</f>
        <v>4813.3919999999998</v>
      </c>
      <c r="M115" s="90">
        <v>0</v>
      </c>
      <c r="N115" s="70">
        <v>0</v>
      </c>
      <c r="O115" s="71">
        <f t="shared" ref="O115:O128" si="48">N115*J115</f>
        <v>0</v>
      </c>
      <c r="P115" s="72">
        <v>4.8</v>
      </c>
      <c r="Q115" s="73">
        <f t="shared" si="39"/>
        <v>4813.3919999999998</v>
      </c>
      <c r="R115" s="70">
        <f t="shared" ref="R115:R128" si="49">P115+N115</f>
        <v>4.8</v>
      </c>
      <c r="S115" s="74">
        <f t="shared" ref="S115:S128" si="50">R115*J115</f>
        <v>4813.3919999999998</v>
      </c>
      <c r="T115" s="75">
        <f t="shared" ref="T115:T128" si="51">S115/K115</f>
        <v>1.0000004155075735</v>
      </c>
      <c r="U115" s="76">
        <f t="shared" ref="U115:U128" si="52">H115-R115</f>
        <v>0</v>
      </c>
      <c r="V115" s="77">
        <f t="shared" ref="V115:V128" si="53">U115*J115</f>
        <v>0</v>
      </c>
      <c r="W115" s="78">
        <f t="shared" ref="W115:W128" si="54">U115/H115</f>
        <v>0</v>
      </c>
    </row>
    <row r="116" spans="2:23" s="5" customFormat="1" ht="24.15" customHeight="1" x14ac:dyDescent="0.35">
      <c r="B116" s="4"/>
      <c r="C116" s="28" t="s">
        <v>456</v>
      </c>
      <c r="D116" s="28" t="s">
        <v>32</v>
      </c>
      <c r="E116" s="29" t="s">
        <v>457</v>
      </c>
      <c r="F116" s="30" t="s">
        <v>458</v>
      </c>
      <c r="G116" s="31" t="s">
        <v>207</v>
      </c>
      <c r="H116" s="32">
        <v>240</v>
      </c>
      <c r="I116" s="32">
        <v>240</v>
      </c>
      <c r="J116" s="33">
        <v>26.74</v>
      </c>
      <c r="K116" s="34">
        <f t="shared" si="46"/>
        <v>6417.6</v>
      </c>
      <c r="L116" s="90">
        <f t="shared" si="47"/>
        <v>6417.5999999999995</v>
      </c>
      <c r="M116" s="90">
        <v>290</v>
      </c>
      <c r="N116" s="70">
        <v>0</v>
      </c>
      <c r="O116" s="71">
        <f t="shared" si="48"/>
        <v>0</v>
      </c>
      <c r="P116" s="72">
        <v>240</v>
      </c>
      <c r="Q116" s="73">
        <f t="shared" si="39"/>
        <v>6417.5999999999995</v>
      </c>
      <c r="R116" s="70">
        <f t="shared" si="49"/>
        <v>240</v>
      </c>
      <c r="S116" s="74">
        <f t="shared" si="50"/>
        <v>6417.5999999999995</v>
      </c>
      <c r="T116" s="75">
        <f t="shared" si="51"/>
        <v>0.99999999999999989</v>
      </c>
      <c r="U116" s="76">
        <f t="shared" si="52"/>
        <v>0</v>
      </c>
      <c r="V116" s="77">
        <f t="shared" si="53"/>
        <v>0</v>
      </c>
      <c r="W116" s="78">
        <f t="shared" si="54"/>
        <v>0</v>
      </c>
    </row>
    <row r="117" spans="2:23" s="5" customFormat="1" ht="16.5" customHeight="1" x14ac:dyDescent="0.35">
      <c r="B117" s="4"/>
      <c r="C117" s="38" t="s">
        <v>459</v>
      </c>
      <c r="D117" s="38" t="s">
        <v>193</v>
      </c>
      <c r="E117" s="39" t="s">
        <v>460</v>
      </c>
      <c r="F117" s="40" t="s">
        <v>461</v>
      </c>
      <c r="G117" s="41" t="s">
        <v>214</v>
      </c>
      <c r="H117" s="42">
        <v>4.8</v>
      </c>
      <c r="I117" s="42">
        <v>4.8</v>
      </c>
      <c r="J117" s="43">
        <v>668.53</v>
      </c>
      <c r="K117" s="44">
        <f t="shared" si="46"/>
        <v>3208.94</v>
      </c>
      <c r="L117" s="90">
        <f t="shared" si="47"/>
        <v>3208.944</v>
      </c>
      <c r="M117" s="90">
        <v>0</v>
      </c>
      <c r="N117" s="70">
        <v>0</v>
      </c>
      <c r="O117" s="71">
        <f t="shared" si="48"/>
        <v>0</v>
      </c>
      <c r="P117" s="72">
        <v>4.8</v>
      </c>
      <c r="Q117" s="73">
        <f t="shared" si="39"/>
        <v>3208.944</v>
      </c>
      <c r="R117" s="70">
        <f t="shared" si="49"/>
        <v>4.8</v>
      </c>
      <c r="S117" s="74">
        <f t="shared" si="50"/>
        <v>3208.944</v>
      </c>
      <c r="T117" s="75">
        <f t="shared" si="51"/>
        <v>1.0000012465175416</v>
      </c>
      <c r="U117" s="76">
        <f t="shared" si="52"/>
        <v>0</v>
      </c>
      <c r="V117" s="77">
        <f t="shared" si="53"/>
        <v>0</v>
      </c>
      <c r="W117" s="78">
        <f t="shared" si="54"/>
        <v>0</v>
      </c>
    </row>
    <row r="118" spans="2:23" s="5" customFormat="1" ht="24.15" customHeight="1" x14ac:dyDescent="0.35">
      <c r="B118" s="4"/>
      <c r="C118" s="28" t="s">
        <v>462</v>
      </c>
      <c r="D118" s="28" t="s">
        <v>32</v>
      </c>
      <c r="E118" s="29" t="s">
        <v>463</v>
      </c>
      <c r="F118" s="30" t="s">
        <v>464</v>
      </c>
      <c r="G118" s="31" t="s">
        <v>207</v>
      </c>
      <c r="H118" s="32">
        <v>240</v>
      </c>
      <c r="I118" s="32">
        <v>240</v>
      </c>
      <c r="J118" s="33">
        <v>23.4</v>
      </c>
      <c r="K118" s="34">
        <f t="shared" si="46"/>
        <v>5616</v>
      </c>
      <c r="L118" s="90">
        <f t="shared" si="47"/>
        <v>5616</v>
      </c>
      <c r="M118" s="90">
        <v>290</v>
      </c>
      <c r="N118" s="70">
        <v>0</v>
      </c>
      <c r="O118" s="71">
        <f t="shared" si="48"/>
        <v>0</v>
      </c>
      <c r="P118" s="72">
        <v>240</v>
      </c>
      <c r="Q118" s="73">
        <f t="shared" si="39"/>
        <v>5616</v>
      </c>
      <c r="R118" s="70">
        <f t="shared" si="49"/>
        <v>240</v>
      </c>
      <c r="S118" s="74">
        <f t="shared" si="50"/>
        <v>5616</v>
      </c>
      <c r="T118" s="75">
        <f t="shared" si="51"/>
        <v>1</v>
      </c>
      <c r="U118" s="76">
        <f t="shared" si="52"/>
        <v>0</v>
      </c>
      <c r="V118" s="77">
        <f t="shared" si="53"/>
        <v>0</v>
      </c>
      <c r="W118" s="78">
        <f t="shared" si="54"/>
        <v>0</v>
      </c>
    </row>
    <row r="119" spans="2:23" s="5" customFormat="1" ht="16.5" customHeight="1" x14ac:dyDescent="0.35">
      <c r="B119" s="4"/>
      <c r="C119" s="38" t="s">
        <v>465</v>
      </c>
      <c r="D119" s="38" t="s">
        <v>193</v>
      </c>
      <c r="E119" s="39" t="s">
        <v>466</v>
      </c>
      <c r="F119" s="40" t="s">
        <v>467</v>
      </c>
      <c r="G119" s="41" t="s">
        <v>323</v>
      </c>
      <c r="H119" s="42">
        <v>7.2</v>
      </c>
      <c r="I119" s="42">
        <v>7.2</v>
      </c>
      <c r="J119" s="43">
        <v>200.56</v>
      </c>
      <c r="K119" s="44">
        <f t="shared" si="46"/>
        <v>1444.03</v>
      </c>
      <c r="L119" s="90">
        <f t="shared" si="47"/>
        <v>1444.0320000000002</v>
      </c>
      <c r="M119" s="90">
        <v>0</v>
      </c>
      <c r="N119" s="70">
        <v>0</v>
      </c>
      <c r="O119" s="71">
        <f t="shared" si="48"/>
        <v>0</v>
      </c>
      <c r="P119" s="72">
        <v>7.2</v>
      </c>
      <c r="Q119" s="73">
        <f t="shared" si="39"/>
        <v>1444.0320000000002</v>
      </c>
      <c r="R119" s="70">
        <f t="shared" si="49"/>
        <v>7.2</v>
      </c>
      <c r="S119" s="74">
        <f t="shared" si="50"/>
        <v>1444.0320000000002</v>
      </c>
      <c r="T119" s="75">
        <f t="shared" si="51"/>
        <v>1.0000013850127769</v>
      </c>
      <c r="U119" s="76">
        <f t="shared" si="52"/>
        <v>0</v>
      </c>
      <c r="V119" s="77">
        <f t="shared" si="53"/>
        <v>0</v>
      </c>
      <c r="W119" s="78">
        <f t="shared" si="54"/>
        <v>0</v>
      </c>
    </row>
    <row r="120" spans="2:23" s="5" customFormat="1" ht="21.75" customHeight="1" x14ac:dyDescent="0.35">
      <c r="B120" s="4"/>
      <c r="C120" s="28" t="s">
        <v>468</v>
      </c>
      <c r="D120" s="28" t="s">
        <v>32</v>
      </c>
      <c r="E120" s="29" t="s">
        <v>425</v>
      </c>
      <c r="F120" s="30" t="s">
        <v>426</v>
      </c>
      <c r="G120" s="31" t="s">
        <v>207</v>
      </c>
      <c r="H120" s="32">
        <v>240</v>
      </c>
      <c r="I120" s="32">
        <v>240</v>
      </c>
      <c r="J120" s="33">
        <v>10.029999999999999</v>
      </c>
      <c r="K120" s="34">
        <f t="shared" si="46"/>
        <v>2407.1999999999998</v>
      </c>
      <c r="L120" s="90">
        <f t="shared" si="47"/>
        <v>2407.1999999999998</v>
      </c>
      <c r="M120" s="90">
        <v>1398</v>
      </c>
      <c r="N120" s="70">
        <v>0</v>
      </c>
      <c r="O120" s="71">
        <f t="shared" si="48"/>
        <v>0</v>
      </c>
      <c r="P120" s="72">
        <v>240</v>
      </c>
      <c r="Q120" s="73">
        <f t="shared" si="39"/>
        <v>2407.1999999999998</v>
      </c>
      <c r="R120" s="70">
        <f t="shared" si="49"/>
        <v>240</v>
      </c>
      <c r="S120" s="74">
        <f t="shared" si="50"/>
        <v>2407.1999999999998</v>
      </c>
      <c r="T120" s="75">
        <f t="shared" si="51"/>
        <v>1</v>
      </c>
      <c r="U120" s="76">
        <f t="shared" si="52"/>
        <v>0</v>
      </c>
      <c r="V120" s="77">
        <f t="shared" si="53"/>
        <v>0</v>
      </c>
      <c r="W120" s="78">
        <f t="shared" si="54"/>
        <v>0</v>
      </c>
    </row>
    <row r="121" spans="2:23" s="5" customFormat="1" ht="21.75" customHeight="1" x14ac:dyDescent="0.35">
      <c r="B121" s="4"/>
      <c r="C121" s="28" t="s">
        <v>469</v>
      </c>
      <c r="D121" s="28" t="s">
        <v>32</v>
      </c>
      <c r="E121" s="29" t="s">
        <v>425</v>
      </c>
      <c r="F121" s="30" t="s">
        <v>426</v>
      </c>
      <c r="G121" s="31" t="s">
        <v>207</v>
      </c>
      <c r="H121" s="32">
        <v>240</v>
      </c>
      <c r="I121" s="32">
        <v>240</v>
      </c>
      <c r="J121" s="33">
        <v>10.029999999999999</v>
      </c>
      <c r="K121" s="34">
        <f t="shared" si="46"/>
        <v>2407.1999999999998</v>
      </c>
      <c r="L121" s="90">
        <f t="shared" si="47"/>
        <v>2407.1999999999998</v>
      </c>
      <c r="M121" s="90">
        <v>1398</v>
      </c>
      <c r="N121" s="70">
        <v>0</v>
      </c>
      <c r="O121" s="71">
        <f t="shared" si="48"/>
        <v>0</v>
      </c>
      <c r="P121" s="72">
        <v>240</v>
      </c>
      <c r="Q121" s="73">
        <f t="shared" si="39"/>
        <v>2407.1999999999998</v>
      </c>
      <c r="R121" s="70">
        <f t="shared" si="49"/>
        <v>240</v>
      </c>
      <c r="S121" s="74">
        <f t="shared" si="50"/>
        <v>2407.1999999999998</v>
      </c>
      <c r="T121" s="75">
        <f t="shared" si="51"/>
        <v>1</v>
      </c>
      <c r="U121" s="76">
        <f t="shared" si="52"/>
        <v>0</v>
      </c>
      <c r="V121" s="77">
        <f t="shared" si="53"/>
        <v>0</v>
      </c>
      <c r="W121" s="78">
        <f t="shared" si="54"/>
        <v>0</v>
      </c>
    </row>
    <row r="122" spans="2:23" s="5" customFormat="1" ht="21.75" customHeight="1" x14ac:dyDescent="0.35">
      <c r="B122" s="4"/>
      <c r="C122" s="28" t="s">
        <v>470</v>
      </c>
      <c r="D122" s="28" t="s">
        <v>32</v>
      </c>
      <c r="E122" s="29" t="s">
        <v>425</v>
      </c>
      <c r="F122" s="30" t="s">
        <v>426</v>
      </c>
      <c r="G122" s="31" t="s">
        <v>207</v>
      </c>
      <c r="H122" s="32">
        <v>240</v>
      </c>
      <c r="I122" s="32">
        <v>240</v>
      </c>
      <c r="J122" s="33">
        <v>10.029999999999999</v>
      </c>
      <c r="K122" s="34">
        <f t="shared" si="46"/>
        <v>2407.1999999999998</v>
      </c>
      <c r="L122" s="90">
        <f t="shared" si="47"/>
        <v>2407.1999999999998</v>
      </c>
      <c r="M122" s="90">
        <v>1398</v>
      </c>
      <c r="N122" s="70">
        <v>0</v>
      </c>
      <c r="O122" s="71">
        <f t="shared" si="48"/>
        <v>0</v>
      </c>
      <c r="P122" s="72">
        <v>240</v>
      </c>
      <c r="Q122" s="73">
        <f t="shared" si="39"/>
        <v>2407.1999999999998</v>
      </c>
      <c r="R122" s="70">
        <f t="shared" si="49"/>
        <v>240</v>
      </c>
      <c r="S122" s="74">
        <f t="shared" si="50"/>
        <v>2407.1999999999998</v>
      </c>
      <c r="T122" s="75">
        <f t="shared" si="51"/>
        <v>1</v>
      </c>
      <c r="U122" s="76">
        <f t="shared" si="52"/>
        <v>0</v>
      </c>
      <c r="V122" s="77">
        <f t="shared" si="53"/>
        <v>0</v>
      </c>
      <c r="W122" s="78">
        <f t="shared" si="54"/>
        <v>0</v>
      </c>
    </row>
    <row r="123" spans="2:23" s="5" customFormat="1" ht="21.75" customHeight="1" x14ac:dyDescent="0.35">
      <c r="B123" s="4"/>
      <c r="C123" s="28" t="s">
        <v>471</v>
      </c>
      <c r="D123" s="28" t="s">
        <v>32</v>
      </c>
      <c r="E123" s="29" t="s">
        <v>428</v>
      </c>
      <c r="F123" s="30" t="s">
        <v>429</v>
      </c>
      <c r="G123" s="31" t="s">
        <v>207</v>
      </c>
      <c r="H123" s="32">
        <v>240</v>
      </c>
      <c r="I123" s="32">
        <v>240</v>
      </c>
      <c r="J123" s="33">
        <v>6.69</v>
      </c>
      <c r="K123" s="34">
        <f t="shared" si="46"/>
        <v>1605.6</v>
      </c>
      <c r="L123" s="90">
        <f t="shared" si="47"/>
        <v>1605.6000000000001</v>
      </c>
      <c r="M123" s="90">
        <v>1398</v>
      </c>
      <c r="N123" s="70">
        <v>0</v>
      </c>
      <c r="O123" s="71">
        <f t="shared" si="48"/>
        <v>0</v>
      </c>
      <c r="P123" s="72">
        <v>240</v>
      </c>
      <c r="Q123" s="73">
        <f t="shared" si="39"/>
        <v>1605.6000000000001</v>
      </c>
      <c r="R123" s="70">
        <f t="shared" si="49"/>
        <v>240</v>
      </c>
      <c r="S123" s="74">
        <f t="shared" si="50"/>
        <v>1605.6000000000001</v>
      </c>
      <c r="T123" s="75">
        <f t="shared" si="51"/>
        <v>1.0000000000000002</v>
      </c>
      <c r="U123" s="76">
        <f t="shared" si="52"/>
        <v>0</v>
      </c>
      <c r="V123" s="77">
        <f t="shared" si="53"/>
        <v>0</v>
      </c>
      <c r="W123" s="78">
        <f t="shared" si="54"/>
        <v>0</v>
      </c>
    </row>
    <row r="124" spans="2:23" s="5" customFormat="1" ht="21.75" customHeight="1" x14ac:dyDescent="0.35">
      <c r="B124" s="4"/>
      <c r="C124" s="28" t="s">
        <v>472</v>
      </c>
      <c r="D124" s="28" t="s">
        <v>32</v>
      </c>
      <c r="E124" s="29" t="s">
        <v>428</v>
      </c>
      <c r="F124" s="30" t="s">
        <v>429</v>
      </c>
      <c r="G124" s="31" t="s">
        <v>207</v>
      </c>
      <c r="H124" s="32">
        <v>240</v>
      </c>
      <c r="I124" s="32">
        <v>240</v>
      </c>
      <c r="J124" s="33">
        <v>6.69</v>
      </c>
      <c r="K124" s="34">
        <f t="shared" si="46"/>
        <v>1605.6</v>
      </c>
      <c r="L124" s="90">
        <f t="shared" si="47"/>
        <v>1605.6000000000001</v>
      </c>
      <c r="M124" s="90">
        <v>1398</v>
      </c>
      <c r="N124" s="70">
        <v>0</v>
      </c>
      <c r="O124" s="71">
        <f t="shared" si="48"/>
        <v>0</v>
      </c>
      <c r="P124" s="72">
        <v>240</v>
      </c>
      <c r="Q124" s="73">
        <f t="shared" si="39"/>
        <v>1605.6000000000001</v>
      </c>
      <c r="R124" s="70">
        <f t="shared" si="49"/>
        <v>240</v>
      </c>
      <c r="S124" s="74">
        <f t="shared" si="50"/>
        <v>1605.6000000000001</v>
      </c>
      <c r="T124" s="75">
        <f t="shared" si="51"/>
        <v>1.0000000000000002</v>
      </c>
      <c r="U124" s="76">
        <f t="shared" si="52"/>
        <v>0</v>
      </c>
      <c r="V124" s="77">
        <f t="shared" si="53"/>
        <v>0</v>
      </c>
      <c r="W124" s="78">
        <f t="shared" si="54"/>
        <v>0</v>
      </c>
    </row>
    <row r="125" spans="2:23" s="5" customFormat="1" ht="16.5" customHeight="1" x14ac:dyDescent="0.35">
      <c r="B125" s="4"/>
      <c r="C125" s="28" t="s">
        <v>473</v>
      </c>
      <c r="D125" s="28" t="s">
        <v>32</v>
      </c>
      <c r="E125" s="29" t="s">
        <v>474</v>
      </c>
      <c r="F125" s="30" t="s">
        <v>475</v>
      </c>
      <c r="G125" s="31" t="s">
        <v>207</v>
      </c>
      <c r="H125" s="32">
        <v>240</v>
      </c>
      <c r="I125" s="32">
        <v>240</v>
      </c>
      <c r="J125" s="33">
        <v>2.67</v>
      </c>
      <c r="K125" s="34">
        <f t="shared" si="46"/>
        <v>640.79999999999995</v>
      </c>
      <c r="L125" s="90">
        <f t="shared" si="47"/>
        <v>640.79999999999995</v>
      </c>
      <c r="M125" s="90">
        <v>1398</v>
      </c>
      <c r="N125" s="70">
        <v>0</v>
      </c>
      <c r="O125" s="71">
        <f t="shared" si="48"/>
        <v>0</v>
      </c>
      <c r="P125" s="72">
        <v>240</v>
      </c>
      <c r="Q125" s="73">
        <f t="shared" si="39"/>
        <v>640.79999999999995</v>
      </c>
      <c r="R125" s="70">
        <f t="shared" si="49"/>
        <v>240</v>
      </c>
      <c r="S125" s="74">
        <f t="shared" si="50"/>
        <v>640.79999999999995</v>
      </c>
      <c r="T125" s="75">
        <f t="shared" si="51"/>
        <v>1</v>
      </c>
      <c r="U125" s="76">
        <f t="shared" si="52"/>
        <v>0</v>
      </c>
      <c r="V125" s="77">
        <f t="shared" si="53"/>
        <v>0</v>
      </c>
      <c r="W125" s="78">
        <f t="shared" si="54"/>
        <v>0</v>
      </c>
    </row>
    <row r="126" spans="2:23" s="5" customFormat="1" ht="33" customHeight="1" x14ac:dyDescent="0.35">
      <c r="B126" s="4"/>
      <c r="C126" s="28" t="s">
        <v>476</v>
      </c>
      <c r="D126" s="28" t="s">
        <v>32</v>
      </c>
      <c r="E126" s="29" t="s">
        <v>435</v>
      </c>
      <c r="F126" s="30" t="s">
        <v>436</v>
      </c>
      <c r="G126" s="31" t="s">
        <v>207</v>
      </c>
      <c r="H126" s="32">
        <v>240</v>
      </c>
      <c r="I126" s="32">
        <v>240</v>
      </c>
      <c r="J126" s="33">
        <v>2.67</v>
      </c>
      <c r="K126" s="34">
        <f t="shared" si="46"/>
        <v>640.79999999999995</v>
      </c>
      <c r="L126" s="90">
        <f t="shared" si="47"/>
        <v>640.79999999999995</v>
      </c>
      <c r="M126" s="90">
        <v>1398</v>
      </c>
      <c r="N126" s="70">
        <v>0</v>
      </c>
      <c r="O126" s="71">
        <f t="shared" si="48"/>
        <v>0</v>
      </c>
      <c r="P126" s="72">
        <v>240</v>
      </c>
      <c r="Q126" s="73">
        <f t="shared" si="39"/>
        <v>640.79999999999995</v>
      </c>
      <c r="R126" s="70">
        <f t="shared" si="49"/>
        <v>240</v>
      </c>
      <c r="S126" s="74">
        <f t="shared" si="50"/>
        <v>640.79999999999995</v>
      </c>
      <c r="T126" s="75">
        <f t="shared" si="51"/>
        <v>1</v>
      </c>
      <c r="U126" s="76">
        <f t="shared" si="52"/>
        <v>0</v>
      </c>
      <c r="V126" s="77">
        <f t="shared" si="53"/>
        <v>0</v>
      </c>
      <c r="W126" s="78">
        <f t="shared" si="54"/>
        <v>0</v>
      </c>
    </row>
    <row r="127" spans="2:23" s="5" customFormat="1" ht="24.15" customHeight="1" x14ac:dyDescent="0.35">
      <c r="B127" s="4"/>
      <c r="C127" s="28" t="s">
        <v>477</v>
      </c>
      <c r="D127" s="28" t="s">
        <v>32</v>
      </c>
      <c r="E127" s="29" t="s">
        <v>478</v>
      </c>
      <c r="F127" s="30" t="s">
        <v>479</v>
      </c>
      <c r="G127" s="31" t="s">
        <v>223</v>
      </c>
      <c r="H127" s="32">
        <v>5.0000000000000001E-3</v>
      </c>
      <c r="I127" s="32">
        <v>5.0000000000000001E-3</v>
      </c>
      <c r="J127" s="33">
        <v>46797.08</v>
      </c>
      <c r="K127" s="34">
        <f t="shared" si="46"/>
        <v>233.99</v>
      </c>
      <c r="L127" s="90">
        <f t="shared" si="47"/>
        <v>233.98540000000003</v>
      </c>
      <c r="M127" s="90">
        <v>0</v>
      </c>
      <c r="N127" s="70">
        <v>0</v>
      </c>
      <c r="O127" s="71">
        <f t="shared" si="48"/>
        <v>0</v>
      </c>
      <c r="P127" s="72">
        <v>5.0000000000000001E-3</v>
      </c>
      <c r="Q127" s="73">
        <f t="shared" si="39"/>
        <v>233.98540000000003</v>
      </c>
      <c r="R127" s="70">
        <f t="shared" si="49"/>
        <v>5.0000000000000001E-3</v>
      </c>
      <c r="S127" s="74">
        <f t="shared" si="50"/>
        <v>233.98540000000003</v>
      </c>
      <c r="T127" s="75">
        <f t="shared" si="51"/>
        <v>0.99998034104021549</v>
      </c>
      <c r="U127" s="76">
        <f t="shared" si="52"/>
        <v>0</v>
      </c>
      <c r="V127" s="77">
        <f t="shared" si="53"/>
        <v>0</v>
      </c>
      <c r="W127" s="78">
        <f t="shared" si="54"/>
        <v>0</v>
      </c>
    </row>
    <row r="128" spans="2:23" s="5" customFormat="1" ht="16.5" customHeight="1" x14ac:dyDescent="0.35">
      <c r="B128" s="4"/>
      <c r="C128" s="38" t="s">
        <v>480</v>
      </c>
      <c r="D128" s="38" t="s">
        <v>193</v>
      </c>
      <c r="E128" s="39" t="s">
        <v>481</v>
      </c>
      <c r="F128" s="40" t="s">
        <v>482</v>
      </c>
      <c r="G128" s="41" t="s">
        <v>323</v>
      </c>
      <c r="H128" s="42">
        <v>4.8</v>
      </c>
      <c r="I128" s="42">
        <v>4.8</v>
      </c>
      <c r="J128" s="43">
        <v>66.849999999999994</v>
      </c>
      <c r="K128" s="44">
        <f t="shared" si="46"/>
        <v>320.88</v>
      </c>
      <c r="L128" s="90">
        <f t="shared" si="47"/>
        <v>320.87999999999994</v>
      </c>
      <c r="M128" s="90">
        <v>10.8</v>
      </c>
      <c r="N128" s="70">
        <v>0</v>
      </c>
      <c r="O128" s="71">
        <f t="shared" si="48"/>
        <v>0</v>
      </c>
      <c r="P128" s="72">
        <v>4.8</v>
      </c>
      <c r="Q128" s="73">
        <f t="shared" si="39"/>
        <v>320.87999999999994</v>
      </c>
      <c r="R128" s="70">
        <f t="shared" si="49"/>
        <v>4.8</v>
      </c>
      <c r="S128" s="74">
        <f t="shared" si="50"/>
        <v>320.87999999999994</v>
      </c>
      <c r="T128" s="75">
        <f t="shared" si="51"/>
        <v>0.99999999999999978</v>
      </c>
      <c r="U128" s="76">
        <f t="shared" si="52"/>
        <v>0</v>
      </c>
      <c r="V128" s="77">
        <f t="shared" si="53"/>
        <v>0</v>
      </c>
      <c r="W128" s="78">
        <f t="shared" si="54"/>
        <v>0</v>
      </c>
    </row>
    <row r="129" spans="2:23" s="23" customFormat="1" ht="23" customHeight="1" x14ac:dyDescent="0.25">
      <c r="B129" s="22"/>
      <c r="D129" s="24" t="s">
        <v>27</v>
      </c>
      <c r="E129" s="36" t="s">
        <v>483</v>
      </c>
      <c r="F129" s="36" t="s">
        <v>484</v>
      </c>
      <c r="J129" s="26"/>
      <c r="K129" s="37">
        <f>SUM(K130:K139)</f>
        <v>7481.1100000000015</v>
      </c>
      <c r="L129" s="37">
        <f>SUM(L130:L139)</f>
        <v>7481.107140000001</v>
      </c>
      <c r="M129" s="90">
        <v>0</v>
      </c>
      <c r="O129" s="37">
        <f>SUM(O130:O139)</f>
        <v>0</v>
      </c>
      <c r="Q129" s="37">
        <f>SUM(Q130:Q139)</f>
        <v>112538.25023399999</v>
      </c>
      <c r="S129" s="37">
        <f>SUM(S130:S139)</f>
        <v>7481.107140000001</v>
      </c>
      <c r="V129" s="37">
        <f>SUM(V130:V139)</f>
        <v>0</v>
      </c>
    </row>
    <row r="130" spans="2:23" s="5" customFormat="1" ht="21.75" customHeight="1" x14ac:dyDescent="0.35">
      <c r="B130" s="4"/>
      <c r="C130" s="28" t="s">
        <v>485</v>
      </c>
      <c r="D130" s="28" t="s">
        <v>32</v>
      </c>
      <c r="E130" s="29" t="s">
        <v>428</v>
      </c>
      <c r="F130" s="30" t="s">
        <v>429</v>
      </c>
      <c r="G130" s="31" t="s">
        <v>207</v>
      </c>
      <c r="H130" s="32">
        <v>150</v>
      </c>
      <c r="I130" s="32">
        <v>150</v>
      </c>
      <c r="J130" s="33">
        <v>6.69</v>
      </c>
      <c r="K130" s="34">
        <f t="shared" ref="K130:K139" si="55">ROUND(J130*H130,2)</f>
        <v>1003.5</v>
      </c>
      <c r="L130" s="90">
        <f t="shared" ref="L130:L139" si="56">I130*J130</f>
        <v>1003.5000000000001</v>
      </c>
      <c r="M130" s="90">
        <v>0</v>
      </c>
      <c r="N130" s="70">
        <v>0</v>
      </c>
      <c r="O130" s="71">
        <f t="shared" ref="O130:O139" si="57">N130*J130</f>
        <v>0</v>
      </c>
      <c r="P130" s="72">
        <v>150</v>
      </c>
      <c r="Q130" s="73">
        <f t="shared" ref="Q130:Q139" si="58">P130*H130</f>
        <v>22500</v>
      </c>
      <c r="R130" s="70">
        <f t="shared" ref="R130:R139" si="59">P130+N130</f>
        <v>150</v>
      </c>
      <c r="S130" s="74">
        <f t="shared" ref="S130:S139" si="60">R130*J130</f>
        <v>1003.5000000000001</v>
      </c>
      <c r="T130" s="75">
        <f t="shared" ref="T130:T139" si="61">S130/K130</f>
        <v>1.0000000000000002</v>
      </c>
      <c r="U130" s="76">
        <f t="shared" ref="U130:U139" si="62">H130-R130</f>
        <v>0</v>
      </c>
      <c r="V130" s="77">
        <f t="shared" ref="V130:V139" si="63">U130*J130</f>
        <v>0</v>
      </c>
      <c r="W130" s="78">
        <f t="shared" ref="W130:W139" si="64">U130/H130</f>
        <v>0</v>
      </c>
    </row>
    <row r="131" spans="2:23" s="5" customFormat="1" ht="16.5" customHeight="1" x14ac:dyDescent="0.35">
      <c r="B131" s="4"/>
      <c r="C131" s="28" t="s">
        <v>486</v>
      </c>
      <c r="D131" s="28" t="s">
        <v>32</v>
      </c>
      <c r="E131" s="29" t="s">
        <v>474</v>
      </c>
      <c r="F131" s="30" t="s">
        <v>475</v>
      </c>
      <c r="G131" s="31" t="s">
        <v>207</v>
      </c>
      <c r="H131" s="32">
        <v>150</v>
      </c>
      <c r="I131" s="32">
        <v>150</v>
      </c>
      <c r="J131" s="33">
        <v>2.67</v>
      </c>
      <c r="K131" s="34">
        <f t="shared" si="55"/>
        <v>400.5</v>
      </c>
      <c r="L131" s="90">
        <f t="shared" si="56"/>
        <v>400.5</v>
      </c>
      <c r="M131" s="90">
        <v>0</v>
      </c>
      <c r="N131" s="70">
        <v>0</v>
      </c>
      <c r="O131" s="71">
        <f t="shared" si="57"/>
        <v>0</v>
      </c>
      <c r="P131" s="72">
        <v>150</v>
      </c>
      <c r="Q131" s="73">
        <f t="shared" si="58"/>
        <v>22500</v>
      </c>
      <c r="R131" s="70">
        <f t="shared" si="59"/>
        <v>150</v>
      </c>
      <c r="S131" s="74">
        <f t="shared" si="60"/>
        <v>400.5</v>
      </c>
      <c r="T131" s="75">
        <f t="shared" si="61"/>
        <v>1</v>
      </c>
      <c r="U131" s="76">
        <f t="shared" si="62"/>
        <v>0</v>
      </c>
      <c r="V131" s="77">
        <f t="shared" si="63"/>
        <v>0</v>
      </c>
      <c r="W131" s="78">
        <f t="shared" si="64"/>
        <v>0</v>
      </c>
    </row>
    <row r="132" spans="2:23" s="5" customFormat="1" ht="24.15" customHeight="1" x14ac:dyDescent="0.35">
      <c r="B132" s="4"/>
      <c r="C132" s="28" t="s">
        <v>487</v>
      </c>
      <c r="D132" s="28" t="s">
        <v>32</v>
      </c>
      <c r="E132" s="29" t="s">
        <v>488</v>
      </c>
      <c r="F132" s="30" t="s">
        <v>489</v>
      </c>
      <c r="G132" s="31" t="s">
        <v>207</v>
      </c>
      <c r="H132" s="32">
        <v>150</v>
      </c>
      <c r="I132" s="32">
        <v>150</v>
      </c>
      <c r="J132" s="33">
        <v>8.69</v>
      </c>
      <c r="K132" s="34">
        <f t="shared" si="55"/>
        <v>1303.5</v>
      </c>
      <c r="L132" s="90">
        <f t="shared" si="56"/>
        <v>1303.5</v>
      </c>
      <c r="M132" s="90">
        <v>0</v>
      </c>
      <c r="N132" s="70">
        <v>0</v>
      </c>
      <c r="O132" s="71">
        <f t="shared" si="57"/>
        <v>0</v>
      </c>
      <c r="P132" s="72">
        <v>150</v>
      </c>
      <c r="Q132" s="73">
        <f t="shared" si="58"/>
        <v>22500</v>
      </c>
      <c r="R132" s="70">
        <f t="shared" si="59"/>
        <v>150</v>
      </c>
      <c r="S132" s="74">
        <f t="shared" si="60"/>
        <v>1303.5</v>
      </c>
      <c r="T132" s="75">
        <f t="shared" si="61"/>
        <v>1</v>
      </c>
      <c r="U132" s="76">
        <f t="shared" si="62"/>
        <v>0</v>
      </c>
      <c r="V132" s="77">
        <f t="shared" si="63"/>
        <v>0</v>
      </c>
      <c r="W132" s="78">
        <f t="shared" si="64"/>
        <v>0</v>
      </c>
    </row>
    <row r="133" spans="2:23" s="5" customFormat="1" ht="16.5" customHeight="1" x14ac:dyDescent="0.35">
      <c r="B133" s="4"/>
      <c r="C133" s="38" t="s">
        <v>490</v>
      </c>
      <c r="D133" s="38" t="s">
        <v>193</v>
      </c>
      <c r="E133" s="39" t="s">
        <v>466</v>
      </c>
      <c r="F133" s="40" t="s">
        <v>467</v>
      </c>
      <c r="G133" s="41" t="s">
        <v>323</v>
      </c>
      <c r="H133" s="42">
        <v>4.5</v>
      </c>
      <c r="I133" s="42">
        <v>4.5</v>
      </c>
      <c r="J133" s="43">
        <v>200.56</v>
      </c>
      <c r="K133" s="44">
        <f t="shared" si="55"/>
        <v>902.52</v>
      </c>
      <c r="L133" s="90">
        <f t="shared" si="56"/>
        <v>902.52</v>
      </c>
      <c r="M133" s="90">
        <v>0</v>
      </c>
      <c r="N133" s="70">
        <v>0</v>
      </c>
      <c r="O133" s="71">
        <f t="shared" si="57"/>
        <v>0</v>
      </c>
      <c r="P133" s="72">
        <v>4.5</v>
      </c>
      <c r="Q133" s="73">
        <f t="shared" si="58"/>
        <v>20.25</v>
      </c>
      <c r="R133" s="70">
        <f t="shared" si="59"/>
        <v>4.5</v>
      </c>
      <c r="S133" s="74">
        <f t="shared" si="60"/>
        <v>902.52</v>
      </c>
      <c r="T133" s="75">
        <f t="shared" si="61"/>
        <v>1</v>
      </c>
      <c r="U133" s="76">
        <f t="shared" si="62"/>
        <v>0</v>
      </c>
      <c r="V133" s="77">
        <f t="shared" si="63"/>
        <v>0</v>
      </c>
      <c r="W133" s="78">
        <f t="shared" si="64"/>
        <v>0</v>
      </c>
    </row>
    <row r="134" spans="2:23" s="5" customFormat="1" ht="33" customHeight="1" x14ac:dyDescent="0.35">
      <c r="B134" s="4"/>
      <c r="C134" s="28" t="s">
        <v>491</v>
      </c>
      <c r="D134" s="28" t="s">
        <v>32</v>
      </c>
      <c r="E134" s="29" t="s">
        <v>492</v>
      </c>
      <c r="F134" s="30" t="s">
        <v>493</v>
      </c>
      <c r="G134" s="31" t="s">
        <v>207</v>
      </c>
      <c r="H134" s="32">
        <v>150</v>
      </c>
      <c r="I134" s="32">
        <v>150</v>
      </c>
      <c r="J134" s="33">
        <v>6.69</v>
      </c>
      <c r="K134" s="34">
        <f t="shared" si="55"/>
        <v>1003.5</v>
      </c>
      <c r="L134" s="90">
        <f t="shared" si="56"/>
        <v>1003.5000000000001</v>
      </c>
      <c r="M134" s="90">
        <v>0</v>
      </c>
      <c r="N134" s="70">
        <v>0</v>
      </c>
      <c r="O134" s="71">
        <f t="shared" si="57"/>
        <v>0</v>
      </c>
      <c r="P134" s="72">
        <v>150</v>
      </c>
      <c r="Q134" s="73">
        <f t="shared" si="58"/>
        <v>22500</v>
      </c>
      <c r="R134" s="70">
        <f t="shared" si="59"/>
        <v>150</v>
      </c>
      <c r="S134" s="74">
        <f t="shared" si="60"/>
        <v>1003.5000000000001</v>
      </c>
      <c r="T134" s="75">
        <f t="shared" si="61"/>
        <v>1.0000000000000002</v>
      </c>
      <c r="U134" s="76">
        <f t="shared" si="62"/>
        <v>0</v>
      </c>
      <c r="V134" s="77">
        <f t="shared" si="63"/>
        <v>0</v>
      </c>
      <c r="W134" s="78">
        <f t="shared" si="64"/>
        <v>0</v>
      </c>
    </row>
    <row r="135" spans="2:23" s="5" customFormat="1" ht="16.5" customHeight="1" x14ac:dyDescent="0.35">
      <c r="B135" s="4"/>
      <c r="C135" s="38" t="s">
        <v>494</v>
      </c>
      <c r="D135" s="38" t="s">
        <v>193</v>
      </c>
      <c r="E135" s="39" t="s">
        <v>495</v>
      </c>
      <c r="F135" s="40" t="s">
        <v>461</v>
      </c>
      <c r="G135" s="41" t="s">
        <v>214</v>
      </c>
      <c r="H135" s="42">
        <v>3</v>
      </c>
      <c r="I135" s="42">
        <v>3</v>
      </c>
      <c r="J135" s="43">
        <v>668.53</v>
      </c>
      <c r="K135" s="44">
        <f t="shared" si="55"/>
        <v>2005.59</v>
      </c>
      <c r="L135" s="90">
        <f t="shared" si="56"/>
        <v>2005.59</v>
      </c>
      <c r="M135" s="90">
        <v>0</v>
      </c>
      <c r="N135" s="70">
        <v>0</v>
      </c>
      <c r="O135" s="71">
        <f t="shared" si="57"/>
        <v>0</v>
      </c>
      <c r="P135" s="72">
        <v>3</v>
      </c>
      <c r="Q135" s="73">
        <f t="shared" si="58"/>
        <v>9</v>
      </c>
      <c r="R135" s="70">
        <f t="shared" si="59"/>
        <v>3</v>
      </c>
      <c r="S135" s="74">
        <f t="shared" si="60"/>
        <v>2005.59</v>
      </c>
      <c r="T135" s="75">
        <f t="shared" si="61"/>
        <v>1</v>
      </c>
      <c r="U135" s="76">
        <f t="shared" si="62"/>
        <v>0</v>
      </c>
      <c r="V135" s="77">
        <f t="shared" si="63"/>
        <v>0</v>
      </c>
      <c r="W135" s="78">
        <f t="shared" si="64"/>
        <v>0</v>
      </c>
    </row>
    <row r="136" spans="2:23" s="5" customFormat="1" ht="24.15" customHeight="1" x14ac:dyDescent="0.35">
      <c r="B136" s="4"/>
      <c r="C136" s="28" t="s">
        <v>496</v>
      </c>
      <c r="D136" s="28" t="s">
        <v>32</v>
      </c>
      <c r="E136" s="29" t="s">
        <v>478</v>
      </c>
      <c r="F136" s="30" t="s">
        <v>479</v>
      </c>
      <c r="G136" s="31" t="s">
        <v>223</v>
      </c>
      <c r="H136" s="32">
        <v>3.0000000000000001E-3</v>
      </c>
      <c r="I136" s="32">
        <v>3.0000000000000001E-3</v>
      </c>
      <c r="J136" s="33">
        <v>46797.08</v>
      </c>
      <c r="K136" s="34">
        <f t="shared" si="55"/>
        <v>140.38999999999999</v>
      </c>
      <c r="L136" s="90">
        <f t="shared" si="56"/>
        <v>140.39124000000001</v>
      </c>
      <c r="M136" s="90">
        <v>0</v>
      </c>
      <c r="N136" s="70">
        <v>0</v>
      </c>
      <c r="O136" s="71">
        <f t="shared" si="57"/>
        <v>0</v>
      </c>
      <c r="P136" s="72">
        <v>3.0000000000000001E-3</v>
      </c>
      <c r="Q136" s="73">
        <f t="shared" si="58"/>
        <v>9.0000000000000002E-6</v>
      </c>
      <c r="R136" s="70">
        <f t="shared" si="59"/>
        <v>3.0000000000000001E-3</v>
      </c>
      <c r="S136" s="74">
        <f t="shared" si="60"/>
        <v>140.39124000000001</v>
      </c>
      <c r="T136" s="75">
        <f t="shared" si="61"/>
        <v>1.0000088325379302</v>
      </c>
      <c r="U136" s="76">
        <f t="shared" si="62"/>
        <v>0</v>
      </c>
      <c r="V136" s="77">
        <f t="shared" si="63"/>
        <v>0</v>
      </c>
      <c r="W136" s="78">
        <f t="shared" si="64"/>
        <v>0</v>
      </c>
    </row>
    <row r="137" spans="2:23" s="5" customFormat="1" ht="16.5" customHeight="1" x14ac:dyDescent="0.35">
      <c r="B137" s="4"/>
      <c r="C137" s="38" t="s">
        <v>497</v>
      </c>
      <c r="D137" s="38" t="s">
        <v>193</v>
      </c>
      <c r="E137" s="39" t="s">
        <v>498</v>
      </c>
      <c r="F137" s="40" t="s">
        <v>482</v>
      </c>
      <c r="G137" s="41" t="s">
        <v>323</v>
      </c>
      <c r="H137" s="42">
        <v>3</v>
      </c>
      <c r="I137" s="42">
        <v>3</v>
      </c>
      <c r="J137" s="43">
        <v>66.849999999999994</v>
      </c>
      <c r="K137" s="44">
        <f t="shared" si="55"/>
        <v>200.55</v>
      </c>
      <c r="L137" s="90">
        <f t="shared" si="56"/>
        <v>200.54999999999998</v>
      </c>
      <c r="M137" s="90">
        <v>0</v>
      </c>
      <c r="N137" s="70">
        <v>0</v>
      </c>
      <c r="O137" s="71">
        <f t="shared" si="57"/>
        <v>0</v>
      </c>
      <c r="P137" s="72">
        <v>3</v>
      </c>
      <c r="Q137" s="73">
        <f t="shared" si="58"/>
        <v>9</v>
      </c>
      <c r="R137" s="70">
        <f t="shared" si="59"/>
        <v>3</v>
      </c>
      <c r="S137" s="74">
        <f t="shared" si="60"/>
        <v>200.54999999999998</v>
      </c>
      <c r="T137" s="75">
        <f t="shared" si="61"/>
        <v>0.99999999999999989</v>
      </c>
      <c r="U137" s="76">
        <f t="shared" si="62"/>
        <v>0</v>
      </c>
      <c r="V137" s="77">
        <f t="shared" si="63"/>
        <v>0</v>
      </c>
      <c r="W137" s="78">
        <f t="shared" si="64"/>
        <v>0</v>
      </c>
    </row>
    <row r="138" spans="2:23" s="5" customFormat="1" ht="21.75" customHeight="1" x14ac:dyDescent="0.35">
      <c r="B138" s="4"/>
      <c r="C138" s="28" t="s">
        <v>230</v>
      </c>
      <c r="D138" s="28" t="s">
        <v>32</v>
      </c>
      <c r="E138" s="29" t="s">
        <v>499</v>
      </c>
      <c r="F138" s="30" t="s">
        <v>500</v>
      </c>
      <c r="G138" s="31" t="s">
        <v>207</v>
      </c>
      <c r="H138" s="32">
        <v>150</v>
      </c>
      <c r="I138" s="32">
        <v>150</v>
      </c>
      <c r="J138" s="33">
        <v>3.34</v>
      </c>
      <c r="K138" s="34">
        <f t="shared" si="55"/>
        <v>501</v>
      </c>
      <c r="L138" s="90">
        <f t="shared" si="56"/>
        <v>501</v>
      </c>
      <c r="M138" s="90">
        <v>0</v>
      </c>
      <c r="N138" s="70">
        <v>0</v>
      </c>
      <c r="O138" s="71">
        <f t="shared" si="57"/>
        <v>0</v>
      </c>
      <c r="P138" s="72">
        <v>150</v>
      </c>
      <c r="Q138" s="73">
        <f t="shared" si="58"/>
        <v>22500</v>
      </c>
      <c r="R138" s="70">
        <f t="shared" si="59"/>
        <v>150</v>
      </c>
      <c r="S138" s="74">
        <f t="shared" si="60"/>
        <v>501</v>
      </c>
      <c r="T138" s="75">
        <f t="shared" si="61"/>
        <v>1</v>
      </c>
      <c r="U138" s="76">
        <f t="shared" si="62"/>
        <v>0</v>
      </c>
      <c r="V138" s="77">
        <f t="shared" si="63"/>
        <v>0</v>
      </c>
      <c r="W138" s="78">
        <f t="shared" si="64"/>
        <v>0</v>
      </c>
    </row>
    <row r="139" spans="2:23" s="5" customFormat="1" ht="24.15" customHeight="1" x14ac:dyDescent="0.35">
      <c r="B139" s="4"/>
      <c r="C139" s="28" t="s">
        <v>501</v>
      </c>
      <c r="D139" s="28" t="s">
        <v>32</v>
      </c>
      <c r="E139" s="29" t="s">
        <v>502</v>
      </c>
      <c r="F139" s="30" t="s">
        <v>503</v>
      </c>
      <c r="G139" s="31" t="s">
        <v>207</v>
      </c>
      <c r="H139" s="32">
        <v>1.4999999999999999E-2</v>
      </c>
      <c r="I139" s="32">
        <v>1.4999999999999999E-2</v>
      </c>
      <c r="J139" s="33">
        <v>1337.06</v>
      </c>
      <c r="K139" s="34">
        <f t="shared" si="55"/>
        <v>20.059999999999999</v>
      </c>
      <c r="L139" s="90">
        <f t="shared" si="56"/>
        <v>20.055899999999998</v>
      </c>
      <c r="M139" s="90">
        <v>0</v>
      </c>
      <c r="N139" s="70">
        <v>0</v>
      </c>
      <c r="O139" s="71">
        <f t="shared" si="57"/>
        <v>0</v>
      </c>
      <c r="P139" s="72">
        <v>1.4999999999999999E-2</v>
      </c>
      <c r="Q139" s="73">
        <f t="shared" si="58"/>
        <v>2.2499999999999999E-4</v>
      </c>
      <c r="R139" s="70">
        <f t="shared" si="59"/>
        <v>1.4999999999999999E-2</v>
      </c>
      <c r="S139" s="74">
        <f t="shared" si="60"/>
        <v>20.055899999999998</v>
      </c>
      <c r="T139" s="75">
        <f t="shared" si="61"/>
        <v>0.99979561316051835</v>
      </c>
      <c r="U139" s="76">
        <f t="shared" si="62"/>
        <v>0</v>
      </c>
      <c r="V139" s="77">
        <f t="shared" si="63"/>
        <v>0</v>
      </c>
      <c r="W139" s="78">
        <f t="shared" si="64"/>
        <v>0</v>
      </c>
    </row>
    <row r="140" spans="2:23" s="23" customFormat="1" ht="23" customHeight="1" x14ac:dyDescent="0.25">
      <c r="B140" s="22"/>
      <c r="D140" s="24" t="s">
        <v>27</v>
      </c>
      <c r="E140" s="36" t="s">
        <v>504</v>
      </c>
      <c r="F140" s="36" t="s">
        <v>505</v>
      </c>
      <c r="J140" s="26"/>
      <c r="K140" s="37">
        <f>SUM(K141:K142)</f>
        <v>168991.09</v>
      </c>
      <c r="L140" s="37">
        <f>SUM(L141:L142)</f>
        <v>168991.09</v>
      </c>
      <c r="M140" s="90">
        <v>0</v>
      </c>
      <c r="O140" s="37">
        <f>SUM(O141:O142)</f>
        <v>149370</v>
      </c>
      <c r="Q140" s="37">
        <f>SUM(Q141:Q142)</f>
        <v>75009.100000000006</v>
      </c>
      <c r="S140" s="37">
        <f>SUM(S141:S142)</f>
        <v>161048.95000000001</v>
      </c>
      <c r="V140" s="37">
        <f>SUM(V141:V142)</f>
        <v>7942.1399999999994</v>
      </c>
    </row>
    <row r="141" spans="2:23" s="5" customFormat="1" ht="16.5" customHeight="1" x14ac:dyDescent="0.35">
      <c r="B141" s="4"/>
      <c r="C141" s="28" t="s">
        <v>506</v>
      </c>
      <c r="D141" s="28" t="s">
        <v>32</v>
      </c>
      <c r="E141" s="29" t="s">
        <v>507</v>
      </c>
      <c r="F141" s="30" t="s">
        <v>508</v>
      </c>
      <c r="G141" s="31" t="s">
        <v>509</v>
      </c>
      <c r="H141" s="32">
        <v>383</v>
      </c>
      <c r="I141" s="32">
        <v>383</v>
      </c>
      <c r="J141" s="33">
        <v>46.8</v>
      </c>
      <c r="K141" s="34">
        <f>ROUND(J141*H141,2)</f>
        <v>17924.400000000001</v>
      </c>
      <c r="L141" s="90">
        <f>I141*J141</f>
        <v>17924.399999999998</v>
      </c>
      <c r="M141" s="90">
        <v>0</v>
      </c>
      <c r="N141" s="70">
        <v>195</v>
      </c>
      <c r="O141" s="71">
        <f>N141*H141</f>
        <v>74685</v>
      </c>
      <c r="P141" s="72">
        <v>170</v>
      </c>
      <c r="Q141" s="73">
        <f>P141*J141</f>
        <v>7955.9999999999991</v>
      </c>
      <c r="R141" s="70">
        <f>P141+N141</f>
        <v>365</v>
      </c>
      <c r="S141" s="74">
        <f>R141*J141</f>
        <v>17082</v>
      </c>
      <c r="T141" s="75">
        <f>S141/K141</f>
        <v>0.95300261096605732</v>
      </c>
      <c r="U141" s="76">
        <f>H141-R141</f>
        <v>18</v>
      </c>
      <c r="V141" s="77">
        <f>U141*J141</f>
        <v>842.4</v>
      </c>
      <c r="W141" s="78">
        <f>U141/H141</f>
        <v>4.6997389033942558E-2</v>
      </c>
    </row>
    <row r="142" spans="2:23" s="5" customFormat="1" ht="16.5" customHeight="1" x14ac:dyDescent="0.35">
      <c r="B142" s="4"/>
      <c r="C142" s="38" t="s">
        <v>510</v>
      </c>
      <c r="D142" s="38" t="s">
        <v>193</v>
      </c>
      <c r="E142" s="39" t="s">
        <v>511</v>
      </c>
      <c r="F142" s="40" t="s">
        <v>512</v>
      </c>
      <c r="G142" s="41" t="s">
        <v>509</v>
      </c>
      <c r="H142" s="42">
        <v>383</v>
      </c>
      <c r="I142" s="42">
        <v>383</v>
      </c>
      <c r="J142" s="43">
        <v>394.43</v>
      </c>
      <c r="K142" s="44">
        <f>ROUND(J142*H142,2)</f>
        <v>151066.69</v>
      </c>
      <c r="L142" s="90">
        <f>I142*J142</f>
        <v>151066.69</v>
      </c>
      <c r="M142" s="90">
        <v>0</v>
      </c>
      <c r="N142" s="70">
        <v>195</v>
      </c>
      <c r="O142" s="71">
        <f>N142*H142</f>
        <v>74685</v>
      </c>
      <c r="P142" s="72">
        <v>170</v>
      </c>
      <c r="Q142" s="73">
        <f>P142*J142</f>
        <v>67053.100000000006</v>
      </c>
      <c r="R142" s="70">
        <f>P142+N142</f>
        <v>365</v>
      </c>
      <c r="S142" s="74">
        <f>R142*J142</f>
        <v>143966.95000000001</v>
      </c>
      <c r="T142" s="75">
        <f>S142/K142</f>
        <v>0.95300261096605754</v>
      </c>
      <c r="U142" s="76">
        <f>H142-R142</f>
        <v>18</v>
      </c>
      <c r="V142" s="77">
        <f>U142*J142</f>
        <v>7099.74</v>
      </c>
      <c r="W142" s="78">
        <f>U142/H142</f>
        <v>4.6997389033942558E-2</v>
      </c>
    </row>
    <row r="143" spans="2:23" s="23" customFormat="1" ht="23" customHeight="1" x14ac:dyDescent="0.25">
      <c r="B143" s="22"/>
      <c r="D143" s="24" t="s">
        <v>27</v>
      </c>
      <c r="E143" s="36" t="s">
        <v>58</v>
      </c>
      <c r="F143" s="36" t="s">
        <v>513</v>
      </c>
      <c r="J143" s="26"/>
      <c r="K143" s="37">
        <f>SUM(K144:K162)</f>
        <v>681379.77</v>
      </c>
      <c r="L143" s="37">
        <f>SUM(L144:L162)</f>
        <v>681379.78568000009</v>
      </c>
      <c r="M143" s="90">
        <v>0</v>
      </c>
      <c r="O143" s="37">
        <f>SUM(O144:O162)</f>
        <v>32993.012999999999</v>
      </c>
      <c r="Q143" s="37">
        <f>SUM(Q144:Q162)</f>
        <v>490130.29567999998</v>
      </c>
      <c r="S143" s="37">
        <f>SUM(S144:S162)</f>
        <v>523123.30868000002</v>
      </c>
      <c r="V143" s="37">
        <f>SUM(V144:V162)</f>
        <v>158256.47699999998</v>
      </c>
    </row>
    <row r="144" spans="2:23" s="5" customFormat="1" ht="24.15" customHeight="1" x14ac:dyDescent="0.35">
      <c r="B144" s="4"/>
      <c r="C144" s="28" t="s">
        <v>514</v>
      </c>
      <c r="D144" s="28" t="s">
        <v>32</v>
      </c>
      <c r="E144" s="29" t="s">
        <v>410</v>
      </c>
      <c r="F144" s="30" t="s">
        <v>411</v>
      </c>
      <c r="G144" s="31" t="s">
        <v>207</v>
      </c>
      <c r="H144" s="32">
        <v>556</v>
      </c>
      <c r="I144" s="32">
        <v>556</v>
      </c>
      <c r="J144" s="33">
        <v>33.43</v>
      </c>
      <c r="K144" s="34">
        <f t="shared" ref="K144:K162" si="65">ROUND(J144*H144,2)</f>
        <v>18587.080000000002</v>
      </c>
      <c r="L144" s="90">
        <f t="shared" ref="L144:L162" si="66">I144*J144</f>
        <v>18587.079999999998</v>
      </c>
      <c r="M144" s="90">
        <v>0</v>
      </c>
      <c r="N144" s="70">
        <v>320</v>
      </c>
      <c r="O144" s="71">
        <f t="shared" ref="O144:O162" si="67">N144*J144</f>
        <v>10697.6</v>
      </c>
      <c r="P144" s="72">
        <v>236</v>
      </c>
      <c r="Q144" s="73">
        <f>P144*J144</f>
        <v>7889.48</v>
      </c>
      <c r="R144" s="70">
        <f t="shared" ref="R144:R162" si="68">P144+N144</f>
        <v>556</v>
      </c>
      <c r="S144" s="74">
        <f t="shared" ref="S144:S162" si="69">R144*J144</f>
        <v>18587.079999999998</v>
      </c>
      <c r="T144" s="75">
        <f t="shared" ref="T144:T162" si="70">S144/K144</f>
        <v>0.99999999999999978</v>
      </c>
      <c r="U144" s="76">
        <f t="shared" ref="U144:U162" si="71">H144-R144</f>
        <v>0</v>
      </c>
      <c r="V144" s="77">
        <f t="shared" ref="V144:V162" si="72">U144*J144</f>
        <v>0</v>
      </c>
      <c r="W144" s="78">
        <f t="shared" ref="W144:W162" si="73">U144/H144</f>
        <v>0</v>
      </c>
    </row>
    <row r="145" spans="2:23" s="5" customFormat="1" ht="33" customHeight="1" x14ac:dyDescent="0.35">
      <c r="B145" s="4"/>
      <c r="C145" s="28" t="s">
        <v>515</v>
      </c>
      <c r="D145" s="28" t="s">
        <v>32</v>
      </c>
      <c r="E145" s="29" t="s">
        <v>413</v>
      </c>
      <c r="F145" s="30" t="s">
        <v>414</v>
      </c>
      <c r="G145" s="31" t="s">
        <v>214</v>
      </c>
      <c r="H145" s="32">
        <v>11.12</v>
      </c>
      <c r="I145" s="32">
        <v>11.12</v>
      </c>
      <c r="J145" s="33">
        <v>1002.79</v>
      </c>
      <c r="K145" s="34">
        <f t="shared" si="65"/>
        <v>11151.02</v>
      </c>
      <c r="L145" s="90">
        <f t="shared" si="66"/>
        <v>11151.024799999999</v>
      </c>
      <c r="M145" s="90">
        <v>0</v>
      </c>
      <c r="N145" s="70">
        <v>6.2</v>
      </c>
      <c r="O145" s="71">
        <f t="shared" si="67"/>
        <v>6217.2979999999998</v>
      </c>
      <c r="P145" s="72">
        <v>4.919999999999999</v>
      </c>
      <c r="Q145" s="73">
        <f t="shared" ref="Q145:Q162" si="74">P145*J145</f>
        <v>4933.7267999999985</v>
      </c>
      <c r="R145" s="70">
        <f t="shared" si="68"/>
        <v>11.12</v>
      </c>
      <c r="S145" s="74">
        <f t="shared" si="69"/>
        <v>11151.024799999999</v>
      </c>
      <c r="T145" s="75">
        <f t="shared" si="70"/>
        <v>1.0000004304538956</v>
      </c>
      <c r="U145" s="76">
        <f t="shared" si="71"/>
        <v>0</v>
      </c>
      <c r="V145" s="77">
        <f t="shared" si="72"/>
        <v>0</v>
      </c>
      <c r="W145" s="78">
        <f t="shared" si="73"/>
        <v>0</v>
      </c>
    </row>
    <row r="146" spans="2:23" s="5" customFormat="1" ht="16.5" customHeight="1" x14ac:dyDescent="0.35">
      <c r="B146" s="4"/>
      <c r="C146" s="38" t="s">
        <v>516</v>
      </c>
      <c r="D146" s="38" t="s">
        <v>193</v>
      </c>
      <c r="E146" s="39" t="s">
        <v>416</v>
      </c>
      <c r="F146" s="40" t="s">
        <v>417</v>
      </c>
      <c r="G146" s="41" t="s">
        <v>214</v>
      </c>
      <c r="H146" s="42">
        <v>27.8</v>
      </c>
      <c r="I146" s="42">
        <v>27.8</v>
      </c>
      <c r="J146" s="43">
        <v>668.53</v>
      </c>
      <c r="K146" s="44">
        <f t="shared" si="65"/>
        <v>18585.13</v>
      </c>
      <c r="L146" s="90">
        <f t="shared" si="66"/>
        <v>18585.133999999998</v>
      </c>
      <c r="M146" s="90">
        <v>0</v>
      </c>
      <c r="N146" s="70">
        <v>14.6</v>
      </c>
      <c r="O146" s="71">
        <f t="shared" si="67"/>
        <v>9760.5379999999986</v>
      </c>
      <c r="P146" s="72">
        <v>13.200000000000001</v>
      </c>
      <c r="Q146" s="73">
        <f t="shared" si="74"/>
        <v>8824.5959999999995</v>
      </c>
      <c r="R146" s="70">
        <f t="shared" si="68"/>
        <v>27.8</v>
      </c>
      <c r="S146" s="74">
        <f t="shared" si="69"/>
        <v>18585.133999999998</v>
      </c>
      <c r="T146" s="75">
        <f t="shared" si="70"/>
        <v>1.0000002152258283</v>
      </c>
      <c r="U146" s="76">
        <f t="shared" si="71"/>
        <v>0</v>
      </c>
      <c r="V146" s="77">
        <f t="shared" si="72"/>
        <v>0</v>
      </c>
      <c r="W146" s="78">
        <f t="shared" si="73"/>
        <v>0</v>
      </c>
    </row>
    <row r="147" spans="2:23" s="5" customFormat="1" ht="16.5" customHeight="1" x14ac:dyDescent="0.35">
      <c r="B147" s="4"/>
      <c r="C147" s="38" t="s">
        <v>517</v>
      </c>
      <c r="D147" s="38" t="s">
        <v>193</v>
      </c>
      <c r="E147" s="39" t="s">
        <v>419</v>
      </c>
      <c r="F147" s="40" t="s">
        <v>420</v>
      </c>
      <c r="G147" s="41" t="s">
        <v>214</v>
      </c>
      <c r="H147" s="42">
        <v>27.8</v>
      </c>
      <c r="I147" s="42">
        <v>27.8</v>
      </c>
      <c r="J147" s="43">
        <v>1136.5</v>
      </c>
      <c r="K147" s="44">
        <f t="shared" si="65"/>
        <v>31594.7</v>
      </c>
      <c r="L147" s="90">
        <f t="shared" si="66"/>
        <v>31594.7</v>
      </c>
      <c r="M147" s="90">
        <v>0</v>
      </c>
      <c r="N147" s="70">
        <v>0</v>
      </c>
      <c r="O147" s="71">
        <f t="shared" si="67"/>
        <v>0</v>
      </c>
      <c r="P147" s="72">
        <v>27.8</v>
      </c>
      <c r="Q147" s="73">
        <f t="shared" si="74"/>
        <v>31594.7</v>
      </c>
      <c r="R147" s="70">
        <f t="shared" si="68"/>
        <v>27.8</v>
      </c>
      <c r="S147" s="74">
        <f t="shared" si="69"/>
        <v>31594.7</v>
      </c>
      <c r="T147" s="75">
        <f t="shared" si="70"/>
        <v>1</v>
      </c>
      <c r="U147" s="76">
        <f t="shared" si="71"/>
        <v>0</v>
      </c>
      <c r="V147" s="77">
        <f t="shared" si="72"/>
        <v>0</v>
      </c>
      <c r="W147" s="78">
        <f t="shared" si="73"/>
        <v>0</v>
      </c>
    </row>
    <row r="148" spans="2:23" s="5" customFormat="1" ht="33" customHeight="1" x14ac:dyDescent="0.35">
      <c r="B148" s="4"/>
      <c r="C148" s="28" t="s">
        <v>518</v>
      </c>
      <c r="D148" s="28" t="s">
        <v>32</v>
      </c>
      <c r="E148" s="29" t="s">
        <v>519</v>
      </c>
      <c r="F148" s="30" t="s">
        <v>520</v>
      </c>
      <c r="G148" s="31" t="s">
        <v>272</v>
      </c>
      <c r="H148" s="32">
        <v>6219</v>
      </c>
      <c r="I148" s="32">
        <v>6219</v>
      </c>
      <c r="J148" s="33">
        <v>10.029999999999999</v>
      </c>
      <c r="K148" s="34">
        <f t="shared" si="65"/>
        <v>62376.57</v>
      </c>
      <c r="L148" s="90">
        <f t="shared" si="66"/>
        <v>62376.569999999992</v>
      </c>
      <c r="M148" s="90">
        <v>0</v>
      </c>
      <c r="N148" s="70">
        <v>0</v>
      </c>
      <c r="O148" s="71">
        <f t="shared" si="67"/>
        <v>0</v>
      </c>
      <c r="P148" s="72">
        <v>6219</v>
      </c>
      <c r="Q148" s="73">
        <f t="shared" si="74"/>
        <v>62376.569999999992</v>
      </c>
      <c r="R148" s="70">
        <f t="shared" si="68"/>
        <v>6219</v>
      </c>
      <c r="S148" s="74">
        <f t="shared" si="69"/>
        <v>62376.569999999992</v>
      </c>
      <c r="T148" s="75">
        <f t="shared" si="70"/>
        <v>0.99999999999999989</v>
      </c>
      <c r="U148" s="76">
        <f t="shared" si="71"/>
        <v>0</v>
      </c>
      <c r="V148" s="77">
        <f t="shared" si="72"/>
        <v>0</v>
      </c>
      <c r="W148" s="78">
        <f t="shared" si="73"/>
        <v>0</v>
      </c>
    </row>
    <row r="149" spans="2:23" s="5" customFormat="1" ht="16.5" customHeight="1" x14ac:dyDescent="0.35">
      <c r="B149" s="4"/>
      <c r="C149" s="28" t="s">
        <v>521</v>
      </c>
      <c r="D149" s="28" t="s">
        <v>32</v>
      </c>
      <c r="E149" s="29" t="s">
        <v>522</v>
      </c>
      <c r="F149" s="30" t="s">
        <v>523</v>
      </c>
      <c r="G149" s="31" t="s">
        <v>272</v>
      </c>
      <c r="H149" s="32">
        <v>12630</v>
      </c>
      <c r="I149" s="32">
        <v>12630</v>
      </c>
      <c r="J149" s="33">
        <v>2.67</v>
      </c>
      <c r="K149" s="34">
        <f t="shared" si="65"/>
        <v>33722.1</v>
      </c>
      <c r="L149" s="90">
        <f t="shared" si="66"/>
        <v>33722.1</v>
      </c>
      <c r="M149" s="90">
        <v>0</v>
      </c>
      <c r="N149" s="70">
        <v>0</v>
      </c>
      <c r="O149" s="71">
        <f t="shared" si="67"/>
        <v>0</v>
      </c>
      <c r="P149" s="72">
        <v>12630</v>
      </c>
      <c r="Q149" s="73">
        <f t="shared" si="74"/>
        <v>33722.1</v>
      </c>
      <c r="R149" s="70">
        <f t="shared" si="68"/>
        <v>12630</v>
      </c>
      <c r="S149" s="74">
        <f t="shared" si="69"/>
        <v>33722.1</v>
      </c>
      <c r="T149" s="75">
        <f t="shared" si="70"/>
        <v>1</v>
      </c>
      <c r="U149" s="76">
        <f t="shared" si="71"/>
        <v>0</v>
      </c>
      <c r="V149" s="77">
        <f t="shared" si="72"/>
        <v>0</v>
      </c>
      <c r="W149" s="78">
        <f t="shared" si="73"/>
        <v>0</v>
      </c>
    </row>
    <row r="150" spans="2:23" s="5" customFormat="1" ht="24.15" customHeight="1" x14ac:dyDescent="0.35">
      <c r="B150" s="4"/>
      <c r="C150" s="28" t="s">
        <v>524</v>
      </c>
      <c r="D150" s="28" t="s">
        <v>32</v>
      </c>
      <c r="E150" s="29" t="s">
        <v>525</v>
      </c>
      <c r="F150" s="30" t="s">
        <v>526</v>
      </c>
      <c r="G150" s="31" t="s">
        <v>272</v>
      </c>
      <c r="H150" s="32">
        <v>4956</v>
      </c>
      <c r="I150" s="32">
        <v>4956</v>
      </c>
      <c r="J150" s="33">
        <v>8.69</v>
      </c>
      <c r="K150" s="34">
        <f t="shared" si="65"/>
        <v>43067.64</v>
      </c>
      <c r="L150" s="90">
        <f t="shared" si="66"/>
        <v>43067.64</v>
      </c>
      <c r="M150" s="90">
        <v>0</v>
      </c>
      <c r="N150" s="70">
        <v>0</v>
      </c>
      <c r="O150" s="71">
        <f t="shared" si="67"/>
        <v>0</v>
      </c>
      <c r="P150" s="72">
        <v>4956</v>
      </c>
      <c r="Q150" s="73">
        <f t="shared" si="74"/>
        <v>43067.64</v>
      </c>
      <c r="R150" s="70">
        <f t="shared" si="68"/>
        <v>4956</v>
      </c>
      <c r="S150" s="74">
        <f t="shared" si="69"/>
        <v>43067.64</v>
      </c>
      <c r="T150" s="75">
        <f t="shared" si="70"/>
        <v>1</v>
      </c>
      <c r="U150" s="76">
        <f t="shared" si="71"/>
        <v>0</v>
      </c>
      <c r="V150" s="77">
        <f t="shared" si="72"/>
        <v>0</v>
      </c>
      <c r="W150" s="78">
        <f t="shared" si="73"/>
        <v>0</v>
      </c>
    </row>
    <row r="151" spans="2:23" s="5" customFormat="1" ht="21.75" customHeight="1" x14ac:dyDescent="0.35">
      <c r="B151" s="4"/>
      <c r="C151" s="28" t="s">
        <v>527</v>
      </c>
      <c r="D151" s="28" t="s">
        <v>32</v>
      </c>
      <c r="E151" s="29" t="s">
        <v>425</v>
      </c>
      <c r="F151" s="30" t="s">
        <v>426</v>
      </c>
      <c r="G151" s="31" t="s">
        <v>207</v>
      </c>
      <c r="H151" s="32">
        <v>556</v>
      </c>
      <c r="I151" s="32">
        <v>556</v>
      </c>
      <c r="J151" s="33">
        <v>20.059999999999999</v>
      </c>
      <c r="K151" s="34">
        <f t="shared" si="65"/>
        <v>11153.36</v>
      </c>
      <c r="L151" s="90">
        <f t="shared" si="66"/>
        <v>11153.359999999999</v>
      </c>
      <c r="M151" s="90">
        <v>0</v>
      </c>
      <c r="N151" s="70">
        <v>0</v>
      </c>
      <c r="O151" s="71">
        <f t="shared" si="67"/>
        <v>0</v>
      </c>
      <c r="P151" s="72">
        <v>556</v>
      </c>
      <c r="Q151" s="73">
        <f t="shared" si="74"/>
        <v>11153.359999999999</v>
      </c>
      <c r="R151" s="70">
        <f t="shared" si="68"/>
        <v>556</v>
      </c>
      <c r="S151" s="74">
        <f t="shared" si="69"/>
        <v>11153.359999999999</v>
      </c>
      <c r="T151" s="75">
        <f t="shared" si="70"/>
        <v>0.99999999999999989</v>
      </c>
      <c r="U151" s="76">
        <f t="shared" si="71"/>
        <v>0</v>
      </c>
      <c r="V151" s="77">
        <f t="shared" si="72"/>
        <v>0</v>
      </c>
      <c r="W151" s="78">
        <f t="shared" si="73"/>
        <v>0</v>
      </c>
    </row>
    <row r="152" spans="2:23" s="5" customFormat="1" ht="21.75" customHeight="1" x14ac:dyDescent="0.35">
      <c r="B152" s="4"/>
      <c r="C152" s="28" t="s">
        <v>528</v>
      </c>
      <c r="D152" s="28" t="s">
        <v>32</v>
      </c>
      <c r="E152" s="29" t="s">
        <v>428</v>
      </c>
      <c r="F152" s="30" t="s">
        <v>429</v>
      </c>
      <c r="G152" s="31" t="s">
        <v>207</v>
      </c>
      <c r="H152" s="32">
        <v>556</v>
      </c>
      <c r="I152" s="32">
        <v>556</v>
      </c>
      <c r="J152" s="33">
        <v>6.69</v>
      </c>
      <c r="K152" s="34">
        <f t="shared" si="65"/>
        <v>3719.64</v>
      </c>
      <c r="L152" s="90">
        <f t="shared" si="66"/>
        <v>3719.6400000000003</v>
      </c>
      <c r="M152" s="90">
        <v>0</v>
      </c>
      <c r="N152" s="70">
        <v>0</v>
      </c>
      <c r="O152" s="71">
        <f t="shared" si="67"/>
        <v>0</v>
      </c>
      <c r="P152" s="72">
        <v>556</v>
      </c>
      <c r="Q152" s="73">
        <f t="shared" si="74"/>
        <v>3719.6400000000003</v>
      </c>
      <c r="R152" s="70">
        <f t="shared" si="68"/>
        <v>556</v>
      </c>
      <c r="S152" s="74">
        <f t="shared" si="69"/>
        <v>3719.6400000000003</v>
      </c>
      <c r="T152" s="75">
        <f t="shared" si="70"/>
        <v>1.0000000000000002</v>
      </c>
      <c r="U152" s="76">
        <f t="shared" si="71"/>
        <v>0</v>
      </c>
      <c r="V152" s="77">
        <f t="shared" si="72"/>
        <v>0</v>
      </c>
      <c r="W152" s="78">
        <f t="shared" si="73"/>
        <v>0</v>
      </c>
    </row>
    <row r="153" spans="2:23" s="5" customFormat="1" ht="33" customHeight="1" x14ac:dyDescent="0.35">
      <c r="B153" s="4"/>
      <c r="C153" s="28" t="s">
        <v>529</v>
      </c>
      <c r="D153" s="28" t="s">
        <v>32</v>
      </c>
      <c r="E153" s="29" t="s">
        <v>435</v>
      </c>
      <c r="F153" s="30" t="s">
        <v>436</v>
      </c>
      <c r="G153" s="31" t="s">
        <v>207</v>
      </c>
      <c r="H153" s="32">
        <v>556</v>
      </c>
      <c r="I153" s="32">
        <v>556</v>
      </c>
      <c r="J153" s="33">
        <v>2.67</v>
      </c>
      <c r="K153" s="34">
        <f t="shared" si="65"/>
        <v>1484.52</v>
      </c>
      <c r="L153" s="90">
        <f t="shared" si="66"/>
        <v>1484.52</v>
      </c>
      <c r="M153" s="90">
        <v>0</v>
      </c>
      <c r="N153" s="70">
        <v>0</v>
      </c>
      <c r="O153" s="71">
        <f t="shared" si="67"/>
        <v>0</v>
      </c>
      <c r="P153" s="72">
        <v>556</v>
      </c>
      <c r="Q153" s="73">
        <f t="shared" si="74"/>
        <v>1484.52</v>
      </c>
      <c r="R153" s="70">
        <f t="shared" si="68"/>
        <v>556</v>
      </c>
      <c r="S153" s="74">
        <f t="shared" si="69"/>
        <v>1484.52</v>
      </c>
      <c r="T153" s="75">
        <f t="shared" si="70"/>
        <v>1</v>
      </c>
      <c r="U153" s="76">
        <f t="shared" si="71"/>
        <v>0</v>
      </c>
      <c r="V153" s="77">
        <f t="shared" si="72"/>
        <v>0</v>
      </c>
      <c r="W153" s="78">
        <f t="shared" si="73"/>
        <v>0</v>
      </c>
    </row>
    <row r="154" spans="2:23" s="5" customFormat="1" ht="24.15" customHeight="1" x14ac:dyDescent="0.35">
      <c r="B154" s="4"/>
      <c r="C154" s="28" t="s">
        <v>530</v>
      </c>
      <c r="D154" s="28" t="s">
        <v>32</v>
      </c>
      <c r="E154" s="29" t="s">
        <v>531</v>
      </c>
      <c r="F154" s="30" t="s">
        <v>532</v>
      </c>
      <c r="G154" s="31" t="s">
        <v>207</v>
      </c>
      <c r="H154" s="32">
        <v>556</v>
      </c>
      <c r="I154" s="32">
        <v>556</v>
      </c>
      <c r="J154" s="33">
        <v>46.8</v>
      </c>
      <c r="K154" s="34">
        <f t="shared" si="65"/>
        <v>26020.799999999999</v>
      </c>
      <c r="L154" s="90">
        <f t="shared" si="66"/>
        <v>26020.799999999999</v>
      </c>
      <c r="M154" s="90">
        <v>0</v>
      </c>
      <c r="N154" s="70">
        <v>0</v>
      </c>
      <c r="O154" s="71">
        <f t="shared" si="67"/>
        <v>0</v>
      </c>
      <c r="P154" s="72">
        <v>556</v>
      </c>
      <c r="Q154" s="73">
        <f t="shared" si="74"/>
        <v>26020.799999999999</v>
      </c>
      <c r="R154" s="70">
        <f t="shared" si="68"/>
        <v>556</v>
      </c>
      <c r="S154" s="74">
        <f t="shared" si="69"/>
        <v>26020.799999999999</v>
      </c>
      <c r="T154" s="75">
        <f t="shared" si="70"/>
        <v>1</v>
      </c>
      <c r="U154" s="76">
        <f t="shared" si="71"/>
        <v>0</v>
      </c>
      <c r="V154" s="77">
        <f t="shared" si="72"/>
        <v>0</v>
      </c>
      <c r="W154" s="78">
        <f t="shared" si="73"/>
        <v>0</v>
      </c>
    </row>
    <row r="155" spans="2:23" s="5" customFormat="1" ht="16.5" customHeight="1" x14ac:dyDescent="0.35">
      <c r="B155" s="4"/>
      <c r="C155" s="38" t="s">
        <v>533</v>
      </c>
      <c r="D155" s="38" t="s">
        <v>193</v>
      </c>
      <c r="E155" s="39" t="s">
        <v>534</v>
      </c>
      <c r="F155" s="40" t="s">
        <v>535</v>
      </c>
      <c r="G155" s="41" t="s">
        <v>223</v>
      </c>
      <c r="H155" s="42">
        <v>15.568</v>
      </c>
      <c r="I155" s="42">
        <v>15.568</v>
      </c>
      <c r="J155" s="43">
        <v>1002.79</v>
      </c>
      <c r="K155" s="44">
        <f t="shared" si="65"/>
        <v>15611.43</v>
      </c>
      <c r="L155" s="90">
        <f t="shared" si="66"/>
        <v>15611.434719999999</v>
      </c>
      <c r="M155" s="90">
        <v>51.132000000000005</v>
      </c>
      <c r="N155" s="70">
        <v>6.3</v>
      </c>
      <c r="O155" s="71">
        <f t="shared" si="67"/>
        <v>6317.5769999999993</v>
      </c>
      <c r="P155" s="72">
        <v>2.968</v>
      </c>
      <c r="Q155" s="73">
        <f t="shared" si="74"/>
        <v>2976.2807199999997</v>
      </c>
      <c r="R155" s="70">
        <f t="shared" si="68"/>
        <v>9.2680000000000007</v>
      </c>
      <c r="S155" s="74">
        <f t="shared" si="69"/>
        <v>9293.85772</v>
      </c>
      <c r="T155" s="75">
        <f t="shared" si="70"/>
        <v>0.59532392099890907</v>
      </c>
      <c r="U155" s="76">
        <f t="shared" si="71"/>
        <v>6.2999999999999989</v>
      </c>
      <c r="V155" s="77">
        <f t="shared" si="72"/>
        <v>6317.5769999999984</v>
      </c>
      <c r="W155" s="78">
        <f t="shared" si="73"/>
        <v>0.40467625899280568</v>
      </c>
    </row>
    <row r="156" spans="2:23" s="5" customFormat="1" ht="24.15" customHeight="1" x14ac:dyDescent="0.35">
      <c r="B156" s="4"/>
      <c r="C156" s="28" t="s">
        <v>536</v>
      </c>
      <c r="D156" s="28" t="s">
        <v>32</v>
      </c>
      <c r="E156" s="29" t="s">
        <v>328</v>
      </c>
      <c r="F156" s="30" t="s">
        <v>329</v>
      </c>
      <c r="G156" s="31" t="s">
        <v>223</v>
      </c>
      <c r="H156" s="32">
        <v>0.05</v>
      </c>
      <c r="I156" s="32">
        <v>0.05</v>
      </c>
      <c r="J156" s="33">
        <v>46797.08</v>
      </c>
      <c r="K156" s="34">
        <f t="shared" si="65"/>
        <v>2339.85</v>
      </c>
      <c r="L156" s="90">
        <f t="shared" si="66"/>
        <v>2339.8540000000003</v>
      </c>
      <c r="M156" s="90">
        <v>0</v>
      </c>
      <c r="N156" s="70">
        <v>0</v>
      </c>
      <c r="O156" s="71">
        <f t="shared" si="67"/>
        <v>0</v>
      </c>
      <c r="P156" s="72">
        <v>0.05</v>
      </c>
      <c r="Q156" s="73">
        <f t="shared" si="74"/>
        <v>2339.8540000000003</v>
      </c>
      <c r="R156" s="70">
        <f t="shared" si="68"/>
        <v>0.05</v>
      </c>
      <c r="S156" s="74">
        <f t="shared" si="69"/>
        <v>2339.8540000000003</v>
      </c>
      <c r="T156" s="75">
        <f t="shared" si="70"/>
        <v>1.0000017095112936</v>
      </c>
      <c r="U156" s="76">
        <f t="shared" si="71"/>
        <v>0</v>
      </c>
      <c r="V156" s="77">
        <f t="shared" si="72"/>
        <v>0</v>
      </c>
      <c r="W156" s="78">
        <f t="shared" si="73"/>
        <v>0</v>
      </c>
    </row>
    <row r="157" spans="2:23" s="5" customFormat="1" ht="24.15" customHeight="1" x14ac:dyDescent="0.35">
      <c r="B157" s="4"/>
      <c r="C157" s="38" t="s">
        <v>537</v>
      </c>
      <c r="D157" s="38" t="s">
        <v>193</v>
      </c>
      <c r="E157" s="39" t="s">
        <v>330</v>
      </c>
      <c r="F157" s="40" t="s">
        <v>331</v>
      </c>
      <c r="G157" s="41" t="s">
        <v>73</v>
      </c>
      <c r="H157" s="42">
        <v>4956</v>
      </c>
      <c r="I157" s="42">
        <v>4956</v>
      </c>
      <c r="J157" s="43">
        <v>2.67</v>
      </c>
      <c r="K157" s="44">
        <f t="shared" si="65"/>
        <v>13232.52</v>
      </c>
      <c r="L157" s="90">
        <f t="shared" si="66"/>
        <v>13232.52</v>
      </c>
      <c r="M157" s="90">
        <v>0</v>
      </c>
      <c r="N157" s="70">
        <v>0</v>
      </c>
      <c r="O157" s="71">
        <f t="shared" si="67"/>
        <v>0</v>
      </c>
      <c r="P157" s="72">
        <v>4956</v>
      </c>
      <c r="Q157" s="73">
        <f t="shared" si="74"/>
        <v>13232.52</v>
      </c>
      <c r="R157" s="70">
        <f t="shared" si="68"/>
        <v>4956</v>
      </c>
      <c r="S157" s="74">
        <f t="shared" si="69"/>
        <v>13232.52</v>
      </c>
      <c r="T157" s="75">
        <f t="shared" si="70"/>
        <v>1</v>
      </c>
      <c r="U157" s="76">
        <f t="shared" si="71"/>
        <v>0</v>
      </c>
      <c r="V157" s="77">
        <f t="shared" si="72"/>
        <v>0</v>
      </c>
      <c r="W157" s="78">
        <f t="shared" si="73"/>
        <v>0</v>
      </c>
    </row>
    <row r="158" spans="2:23" s="5" customFormat="1" ht="16.5" customHeight="1" x14ac:dyDescent="0.35">
      <c r="B158" s="4"/>
      <c r="C158" s="28" t="s">
        <v>538</v>
      </c>
      <c r="D158" s="28" t="s">
        <v>32</v>
      </c>
      <c r="E158" s="29" t="s">
        <v>539</v>
      </c>
      <c r="F158" s="30" t="s">
        <v>540</v>
      </c>
      <c r="G158" s="31" t="s">
        <v>214</v>
      </c>
      <c r="H158" s="32">
        <v>4.9560000000000004</v>
      </c>
      <c r="I158" s="32">
        <v>4.9560000000000004</v>
      </c>
      <c r="J158" s="33">
        <v>467.97</v>
      </c>
      <c r="K158" s="34">
        <f t="shared" si="65"/>
        <v>2319.2600000000002</v>
      </c>
      <c r="L158" s="90">
        <f t="shared" si="66"/>
        <v>2319.2593200000001</v>
      </c>
      <c r="M158" s="90">
        <v>0</v>
      </c>
      <c r="N158" s="70">
        <v>0</v>
      </c>
      <c r="O158" s="71">
        <f t="shared" si="67"/>
        <v>0</v>
      </c>
      <c r="P158" s="72">
        <v>4.9560000000000004</v>
      </c>
      <c r="Q158" s="73">
        <f t="shared" si="74"/>
        <v>2319.2593200000001</v>
      </c>
      <c r="R158" s="70">
        <f t="shared" si="68"/>
        <v>4.9560000000000004</v>
      </c>
      <c r="S158" s="74">
        <f t="shared" si="69"/>
        <v>2319.2593200000001</v>
      </c>
      <c r="T158" s="75">
        <f t="shared" si="70"/>
        <v>0.99999970680303196</v>
      </c>
      <c r="U158" s="76">
        <f t="shared" si="71"/>
        <v>0</v>
      </c>
      <c r="V158" s="77">
        <f t="shared" si="72"/>
        <v>0</v>
      </c>
      <c r="W158" s="78">
        <f t="shared" si="73"/>
        <v>0</v>
      </c>
    </row>
    <row r="159" spans="2:23" s="5" customFormat="1" ht="21.75" customHeight="1" x14ac:dyDescent="0.35">
      <c r="B159" s="4"/>
      <c r="C159" s="28" t="s">
        <v>541</v>
      </c>
      <c r="D159" s="28" t="s">
        <v>32</v>
      </c>
      <c r="E159" s="29" t="s">
        <v>336</v>
      </c>
      <c r="F159" s="30" t="s">
        <v>337</v>
      </c>
      <c r="G159" s="31" t="s">
        <v>214</v>
      </c>
      <c r="H159" s="32">
        <v>4.9560000000000004</v>
      </c>
      <c r="I159" s="32">
        <v>4.9560000000000004</v>
      </c>
      <c r="J159" s="33">
        <v>334.26</v>
      </c>
      <c r="K159" s="34">
        <f t="shared" si="65"/>
        <v>1656.59</v>
      </c>
      <c r="L159" s="90">
        <f t="shared" si="66"/>
        <v>1656.59256</v>
      </c>
      <c r="M159" s="90">
        <v>0</v>
      </c>
      <c r="N159" s="70">
        <v>0</v>
      </c>
      <c r="O159" s="71">
        <f t="shared" si="67"/>
        <v>0</v>
      </c>
      <c r="P159" s="72">
        <v>4.9560000000000004</v>
      </c>
      <c r="Q159" s="73">
        <f t="shared" si="74"/>
        <v>1656.59256</v>
      </c>
      <c r="R159" s="70">
        <f t="shared" si="68"/>
        <v>4.9560000000000004</v>
      </c>
      <c r="S159" s="74">
        <f t="shared" si="69"/>
        <v>1656.59256</v>
      </c>
      <c r="T159" s="75">
        <f t="shared" si="70"/>
        <v>1.0000015453431448</v>
      </c>
      <c r="U159" s="76">
        <f t="shared" si="71"/>
        <v>0</v>
      </c>
      <c r="V159" s="77">
        <f t="shared" si="72"/>
        <v>0</v>
      </c>
      <c r="W159" s="78">
        <f t="shared" si="73"/>
        <v>0</v>
      </c>
    </row>
    <row r="160" spans="2:23" s="5" customFormat="1" ht="16.5" customHeight="1" x14ac:dyDescent="0.35">
      <c r="B160" s="4"/>
      <c r="C160" s="38" t="s">
        <v>542</v>
      </c>
      <c r="D160" s="38" t="s">
        <v>193</v>
      </c>
      <c r="E160" s="39" t="s">
        <v>543</v>
      </c>
      <c r="F160" s="40" t="s">
        <v>339</v>
      </c>
      <c r="G160" s="41" t="s">
        <v>214</v>
      </c>
      <c r="H160" s="42">
        <v>4.9560000000000004</v>
      </c>
      <c r="I160" s="42">
        <v>4.9560000000000004</v>
      </c>
      <c r="J160" s="43">
        <v>167.13</v>
      </c>
      <c r="K160" s="44">
        <f t="shared" si="65"/>
        <v>828.3</v>
      </c>
      <c r="L160" s="44">
        <f t="shared" si="66"/>
        <v>828.29628000000002</v>
      </c>
      <c r="M160" s="90">
        <v>0</v>
      </c>
      <c r="N160" s="70">
        <v>0</v>
      </c>
      <c r="O160" s="71">
        <f t="shared" si="67"/>
        <v>0</v>
      </c>
      <c r="P160" s="72">
        <v>4.9560000000000004</v>
      </c>
      <c r="Q160" s="73">
        <f t="shared" si="74"/>
        <v>828.29628000000002</v>
      </c>
      <c r="R160" s="70">
        <f t="shared" si="68"/>
        <v>4.9560000000000004</v>
      </c>
      <c r="S160" s="74">
        <f t="shared" si="69"/>
        <v>828.29628000000002</v>
      </c>
      <c r="T160" s="75">
        <f t="shared" si="70"/>
        <v>0.99999550887359656</v>
      </c>
      <c r="U160" s="76">
        <f t="shared" si="71"/>
        <v>0</v>
      </c>
      <c r="V160" s="77">
        <f t="shared" si="72"/>
        <v>0</v>
      </c>
      <c r="W160" s="78">
        <f t="shared" si="73"/>
        <v>0</v>
      </c>
    </row>
    <row r="161" spans="2:23" s="5" customFormat="1" ht="16.5" customHeight="1" x14ac:dyDescent="0.35">
      <c r="B161" s="4"/>
      <c r="C161" s="38" t="s">
        <v>544</v>
      </c>
      <c r="D161" s="38" t="s">
        <v>193</v>
      </c>
      <c r="E161" s="39" t="s">
        <v>545</v>
      </c>
      <c r="F161" s="40" t="s">
        <v>546</v>
      </c>
      <c r="G161" s="41" t="s">
        <v>73</v>
      </c>
      <c r="H161" s="42">
        <v>4956</v>
      </c>
      <c r="I161" s="42">
        <v>4956</v>
      </c>
      <c r="J161" s="43">
        <v>46.81</v>
      </c>
      <c r="K161" s="44">
        <f t="shared" si="65"/>
        <v>231990.36</v>
      </c>
      <c r="L161" s="44">
        <f t="shared" si="66"/>
        <v>231990.36000000002</v>
      </c>
      <c r="M161" s="90">
        <v>0</v>
      </c>
      <c r="N161" s="70">
        <v>0</v>
      </c>
      <c r="O161" s="71">
        <f t="shared" si="67"/>
        <v>0</v>
      </c>
      <c r="P161" s="72">
        <v>4956</v>
      </c>
      <c r="Q161" s="73">
        <f t="shared" si="74"/>
        <v>231990.36000000002</v>
      </c>
      <c r="R161" s="70">
        <f t="shared" si="68"/>
        <v>4956</v>
      </c>
      <c r="S161" s="74">
        <f t="shared" si="69"/>
        <v>231990.36000000002</v>
      </c>
      <c r="T161" s="75">
        <f t="shared" si="70"/>
        <v>1.0000000000000002</v>
      </c>
      <c r="U161" s="76">
        <f t="shared" si="71"/>
        <v>0</v>
      </c>
      <c r="V161" s="77">
        <f t="shared" si="72"/>
        <v>0</v>
      </c>
      <c r="W161" s="78">
        <f t="shared" si="73"/>
        <v>0</v>
      </c>
    </row>
    <row r="162" spans="2:23" s="5" customFormat="1" ht="16.5" customHeight="1" x14ac:dyDescent="0.35">
      <c r="B162" s="4"/>
      <c r="C162" s="38" t="s">
        <v>547</v>
      </c>
      <c r="D162" s="38" t="s">
        <v>193</v>
      </c>
      <c r="E162" s="39" t="s">
        <v>548</v>
      </c>
      <c r="F162" s="40" t="s">
        <v>549</v>
      </c>
      <c r="G162" s="41" t="s">
        <v>73</v>
      </c>
      <c r="H162" s="42">
        <v>12630</v>
      </c>
      <c r="I162" s="42">
        <v>12630</v>
      </c>
      <c r="J162" s="43">
        <v>12.03</v>
      </c>
      <c r="K162" s="44">
        <f t="shared" si="65"/>
        <v>151938.9</v>
      </c>
      <c r="L162" s="44">
        <f t="shared" si="66"/>
        <v>151938.9</v>
      </c>
      <c r="M162" s="90">
        <v>0</v>
      </c>
      <c r="N162" s="70">
        <v>0</v>
      </c>
      <c r="O162" s="71">
        <f t="shared" si="67"/>
        <v>0</v>
      </c>
      <c r="P162" s="72"/>
      <c r="Q162" s="73">
        <f t="shared" si="74"/>
        <v>0</v>
      </c>
      <c r="R162" s="70">
        <f t="shared" si="68"/>
        <v>0</v>
      </c>
      <c r="S162" s="74">
        <f t="shared" si="69"/>
        <v>0</v>
      </c>
      <c r="T162" s="75">
        <f t="shared" si="70"/>
        <v>0</v>
      </c>
      <c r="U162" s="76">
        <f t="shared" si="71"/>
        <v>12630</v>
      </c>
      <c r="V162" s="77">
        <f t="shared" si="72"/>
        <v>151938.9</v>
      </c>
      <c r="W162" s="78">
        <f t="shared" si="73"/>
        <v>1</v>
      </c>
    </row>
    <row r="163" spans="2:23" s="23" customFormat="1" ht="23" customHeight="1" x14ac:dyDescent="0.25">
      <c r="B163" s="22"/>
      <c r="D163" s="24" t="s">
        <v>27</v>
      </c>
      <c r="E163" s="36" t="s">
        <v>259</v>
      </c>
      <c r="F163" s="36" t="s">
        <v>260</v>
      </c>
      <c r="J163" s="26"/>
      <c r="K163" s="37">
        <f>SUM(K164:K167)</f>
        <v>88923.74</v>
      </c>
      <c r="L163" s="37">
        <f>SUM(L164:L167)</f>
        <v>88923.728930000012</v>
      </c>
      <c r="M163" s="90">
        <v>0</v>
      </c>
      <c r="O163" s="37">
        <f>SUM(O164:O167)</f>
        <v>0</v>
      </c>
      <c r="Q163" s="37">
        <f>SUM(Q164:Q167)</f>
        <v>14028.363262799998</v>
      </c>
      <c r="S163" s="37">
        <f>SUM(S164:S167)</f>
        <v>53354.237357999991</v>
      </c>
      <c r="V163" s="37">
        <f>SUM(V164:V167)</f>
        <v>35569.491572000006</v>
      </c>
    </row>
    <row r="164" spans="2:23" s="5" customFormat="1" ht="24.15" customHeight="1" x14ac:dyDescent="0.35">
      <c r="B164" s="4"/>
      <c r="C164" s="28" t="s">
        <v>550</v>
      </c>
      <c r="D164" s="28" t="s">
        <v>32</v>
      </c>
      <c r="E164" s="29" t="s">
        <v>551</v>
      </c>
      <c r="F164" s="30" t="s">
        <v>552</v>
      </c>
      <c r="G164" s="31" t="s">
        <v>223</v>
      </c>
      <c r="H164" s="32">
        <v>96.888999999999996</v>
      </c>
      <c r="I164" s="32">
        <v>96.888999999999996</v>
      </c>
      <c r="J164" s="33">
        <v>233.99</v>
      </c>
      <c r="K164" s="34">
        <f>ROUND(J164*H164,2)</f>
        <v>22671.06</v>
      </c>
      <c r="L164" s="90">
        <f>I164*J164</f>
        <v>22671.057110000002</v>
      </c>
      <c r="M164" s="90">
        <v>0</v>
      </c>
      <c r="N164" s="70">
        <v>0</v>
      </c>
      <c r="O164" s="71">
        <f>N164*J164</f>
        <v>0</v>
      </c>
      <c r="P164" s="72">
        <v>58.133399999999995</v>
      </c>
      <c r="Q164" s="73">
        <f>P164*H164</f>
        <v>5632.4869925999992</v>
      </c>
      <c r="R164" s="70">
        <f>P164+N164</f>
        <v>58.133399999999995</v>
      </c>
      <c r="S164" s="74">
        <f>R164*J164</f>
        <v>13602.634265999999</v>
      </c>
      <c r="T164" s="75">
        <f>S164/K164</f>
        <v>0.59999992351482456</v>
      </c>
      <c r="U164" s="76">
        <f>H164-R164</f>
        <v>38.755600000000001</v>
      </c>
      <c r="V164" s="77">
        <f>U164*J164</f>
        <v>9068.4228440000006</v>
      </c>
      <c r="W164" s="78">
        <f>U164/H164</f>
        <v>0.4</v>
      </c>
    </row>
    <row r="165" spans="2:23" s="5" customFormat="1" ht="24.15" customHeight="1" x14ac:dyDescent="0.35">
      <c r="B165" s="4"/>
      <c r="C165" s="28" t="s">
        <v>553</v>
      </c>
      <c r="D165" s="28" t="s">
        <v>32</v>
      </c>
      <c r="E165" s="29" t="s">
        <v>554</v>
      </c>
      <c r="F165" s="30" t="s">
        <v>555</v>
      </c>
      <c r="G165" s="31" t="s">
        <v>223</v>
      </c>
      <c r="H165" s="32">
        <v>89.436000000000007</v>
      </c>
      <c r="I165" s="32">
        <v>89.436000000000007</v>
      </c>
      <c r="J165" s="33">
        <v>334.26</v>
      </c>
      <c r="K165" s="34">
        <f>ROUND(J165*H165,2)</f>
        <v>29894.880000000001</v>
      </c>
      <c r="L165" s="90">
        <f>I165*J165</f>
        <v>29894.877360000002</v>
      </c>
      <c r="M165" s="90">
        <v>0</v>
      </c>
      <c r="N165" s="70">
        <v>0</v>
      </c>
      <c r="O165" s="71">
        <f>N165*J165</f>
        <v>0</v>
      </c>
      <c r="P165" s="72">
        <v>53.6616</v>
      </c>
      <c r="Q165" s="73">
        <f>P165*H165</f>
        <v>4799.2788576000003</v>
      </c>
      <c r="R165" s="70">
        <f>P165+N165</f>
        <v>53.6616</v>
      </c>
      <c r="S165" s="74">
        <f>R165*J165</f>
        <v>17936.926415999998</v>
      </c>
      <c r="T165" s="75">
        <f>S165/K165</f>
        <v>0.59999994701433812</v>
      </c>
      <c r="U165" s="76">
        <f>H165-R165</f>
        <v>35.774400000000007</v>
      </c>
      <c r="V165" s="77">
        <f>U165*J165</f>
        <v>11957.950944000002</v>
      </c>
      <c r="W165" s="78">
        <f>U165/H165</f>
        <v>0.4</v>
      </c>
    </row>
    <row r="166" spans="2:23" s="5" customFormat="1" ht="16.5" customHeight="1" x14ac:dyDescent="0.35">
      <c r="B166" s="4"/>
      <c r="C166" s="28" t="s">
        <v>556</v>
      </c>
      <c r="D166" s="28" t="s">
        <v>32</v>
      </c>
      <c r="E166" s="29" t="s">
        <v>557</v>
      </c>
      <c r="F166" s="30" t="s">
        <v>558</v>
      </c>
      <c r="G166" s="31" t="s">
        <v>223</v>
      </c>
      <c r="H166" s="32">
        <v>60.661000000000001</v>
      </c>
      <c r="I166" s="32">
        <v>60.661000000000001</v>
      </c>
      <c r="J166" s="33">
        <v>334.26</v>
      </c>
      <c r="K166" s="34">
        <f>ROUND(J166*H166,2)</f>
        <v>20276.55</v>
      </c>
      <c r="L166" s="90">
        <f>I166*J166</f>
        <v>20276.545859999998</v>
      </c>
      <c r="M166" s="90">
        <v>0</v>
      </c>
      <c r="N166" s="70">
        <v>0</v>
      </c>
      <c r="O166" s="71">
        <f>N166*J166</f>
        <v>0</v>
      </c>
      <c r="P166" s="72">
        <v>36.396599999999999</v>
      </c>
      <c r="Q166" s="73">
        <f>P166*H166</f>
        <v>2207.8541525999999</v>
      </c>
      <c r="R166" s="70">
        <f>P166+N166</f>
        <v>36.396599999999999</v>
      </c>
      <c r="S166" s="74">
        <f>R166*J166</f>
        <v>12165.927516</v>
      </c>
      <c r="T166" s="75">
        <f>S166/K166</f>
        <v>0.59999987749395234</v>
      </c>
      <c r="U166" s="76">
        <f>H166-R166</f>
        <v>24.264400000000002</v>
      </c>
      <c r="V166" s="77">
        <f>U166*J166</f>
        <v>8110.6183440000004</v>
      </c>
      <c r="W166" s="78">
        <f>U166/H166</f>
        <v>0.4</v>
      </c>
    </row>
    <row r="167" spans="2:23" s="5" customFormat="1" ht="16.5" customHeight="1" x14ac:dyDescent="0.35">
      <c r="B167" s="4"/>
      <c r="C167" s="28" t="s">
        <v>559</v>
      </c>
      <c r="D167" s="28" t="s">
        <v>32</v>
      </c>
      <c r="E167" s="29" t="s">
        <v>560</v>
      </c>
      <c r="F167" s="30" t="s">
        <v>561</v>
      </c>
      <c r="G167" s="31" t="s">
        <v>223</v>
      </c>
      <c r="H167" s="32">
        <v>48.11</v>
      </c>
      <c r="I167" s="32">
        <v>48.11</v>
      </c>
      <c r="J167" s="33">
        <v>334.26</v>
      </c>
      <c r="K167" s="34">
        <f>ROUND(J167*H167,2)</f>
        <v>16081.25</v>
      </c>
      <c r="L167" s="90">
        <f>I167*J167</f>
        <v>16081.248599999999</v>
      </c>
      <c r="M167" s="90">
        <v>0</v>
      </c>
      <c r="N167" s="70">
        <v>0</v>
      </c>
      <c r="O167" s="71">
        <f>N167*J167</f>
        <v>0</v>
      </c>
      <c r="P167" s="72">
        <v>28.866</v>
      </c>
      <c r="Q167" s="73">
        <f>P167*H167</f>
        <v>1388.74326</v>
      </c>
      <c r="R167" s="70">
        <f>P167+N167</f>
        <v>28.866</v>
      </c>
      <c r="S167" s="74">
        <f>R167*J167</f>
        <v>9648.7491599999994</v>
      </c>
      <c r="T167" s="75">
        <f>S167/K167</f>
        <v>0.59999994776525456</v>
      </c>
      <c r="U167" s="76">
        <f>H167-R167</f>
        <v>19.244</v>
      </c>
      <c r="V167" s="77">
        <f>U167*J167</f>
        <v>6432.4994399999996</v>
      </c>
      <c r="W167" s="78">
        <f>U167/H167</f>
        <v>0.4</v>
      </c>
    </row>
    <row r="168" spans="2:23" s="5" customFormat="1" ht="6.9" customHeight="1" x14ac:dyDescent="0.35">
      <c r="B168" s="11"/>
      <c r="C168" s="12"/>
      <c r="D168" s="12"/>
      <c r="E168" s="12"/>
      <c r="F168" s="12"/>
      <c r="G168" s="12"/>
      <c r="H168" s="12"/>
      <c r="I168" s="12"/>
      <c r="J168" s="12"/>
      <c r="K168" s="12"/>
    </row>
  </sheetData>
  <autoFilter ref="K2:K169" xr:uid="{174729CC-30AD-4EC1-A227-F091062F301F}"/>
  <mergeCells count="7">
    <mergeCell ref="U16:W16"/>
    <mergeCell ref="E10:H10"/>
    <mergeCell ref="E6:H6"/>
    <mergeCell ref="E8:H8"/>
    <mergeCell ref="N16:O16"/>
    <mergeCell ref="P16:Q16"/>
    <mergeCell ref="R16:T16"/>
  </mergeCells>
  <pageMargins left="0.23622047244094491" right="0.23622047244094491" top="0.74803149606299213" bottom="0.74803149606299213" header="0.31496062992125984" footer="0.31496062992125984"/>
  <pageSetup paperSize="9" scale="66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15</vt:i4>
      </vt:variant>
    </vt:vector>
  </HeadingPairs>
  <TitlesOfParts>
    <vt:vector size="30" baseType="lpstr">
      <vt:lpstr>Rekapitulace</vt:lpstr>
      <vt:lpstr>KOI011 - SO 101 Veřejné p...</vt:lpstr>
      <vt:lpstr>KOI012 - SO 102 Stavební ...</vt:lpstr>
      <vt:lpstr>KOI013 - SO 301 Odvodnění...</vt:lpstr>
      <vt:lpstr>SO 302 Retenční nádrže</vt:lpstr>
      <vt:lpstr>SO 303 Retenční nádrže u sokolo</vt:lpstr>
      <vt:lpstr>SO 701 Objekty pozemních staveb</vt:lpstr>
      <vt:lpstr>SO 720 Objekty pozemních staveb</vt:lpstr>
      <vt:lpstr>SO 801 Sadové úpravy</vt:lpstr>
      <vt:lpstr>SO 102 Stavební úpravy místní k</vt:lpstr>
      <vt:lpstr>Silnoproudá elektrotechnika</vt:lpstr>
      <vt:lpstr>Slaboproudá elektrotechnika</vt:lpstr>
      <vt:lpstr>SO 701 Objekty podium</vt:lpstr>
      <vt:lpstr>VRN</vt:lpstr>
      <vt:lpstr>VCP</vt:lpstr>
      <vt:lpstr>'KOI011 - SO 101 Veřejné p...'!Oblast_tisku</vt:lpstr>
      <vt:lpstr>'KOI012 - SO 102 Stavební ...'!Oblast_tisku</vt:lpstr>
      <vt:lpstr>'KOI013 - SO 301 Odvodnění...'!Oblast_tisku</vt:lpstr>
      <vt:lpstr>Rekapitulace!Oblast_tisku</vt:lpstr>
      <vt:lpstr>'Silnoproudá elektrotechnika'!Oblast_tisku</vt:lpstr>
      <vt:lpstr>'Slaboproudá elektrotechnika'!Oblast_tisku</vt:lpstr>
      <vt:lpstr>'SO 102 Stavební úpravy místní k'!Oblast_tisku</vt:lpstr>
      <vt:lpstr>'SO 302 Retenční nádrže'!Oblast_tisku</vt:lpstr>
      <vt:lpstr>'SO 303 Retenční nádrže u sokolo'!Oblast_tisku</vt:lpstr>
      <vt:lpstr>'SO 701 Objekty podium'!Oblast_tisku</vt:lpstr>
      <vt:lpstr>'SO 701 Objekty pozemních staveb'!Oblast_tisku</vt:lpstr>
      <vt:lpstr>'SO 720 Objekty pozemních staveb'!Oblast_tisku</vt:lpstr>
      <vt:lpstr>'SO 801 Sadové úpravy'!Oblast_tisku</vt:lpstr>
      <vt:lpstr>VCP!Oblast_tisku</vt:lpstr>
      <vt:lpstr>VRN!Oblast_tisku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Švéda Jan</dc:creator>
  <cp:lastModifiedBy>Švéda Jan</cp:lastModifiedBy>
  <cp:lastPrinted>2025-11-18T06:48:15Z</cp:lastPrinted>
  <dcterms:created xsi:type="dcterms:W3CDTF">2024-11-22T07:34:25Z</dcterms:created>
  <dcterms:modified xsi:type="dcterms:W3CDTF">2025-11-28T09:47:52Z</dcterms:modified>
</cp:coreProperties>
</file>