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0_OBEC\ODPADOVÉ HOSPODÁŘSTVÍ\RESPONO\Vážení SKO odk 1.1.2022\"/>
    </mc:Choice>
  </mc:AlternateContent>
  <xr:revisionPtr revIDLastSave="0" documentId="13_ncr:1_{9817AC6A-35AD-4278-8607-7094FEB51056}" xr6:coauthVersionLast="47" xr6:coauthVersionMax="47" xr10:uidLastSave="{00000000-0000-0000-0000-000000000000}"/>
  <bookViews>
    <workbookView xWindow="1884" yWindow="0" windowWidth="21156" windowHeight="11736" xr2:uid="{00000000-000D-0000-FFFF-FFFF00000000}"/>
  </bookViews>
  <sheets>
    <sheet name="2024" sheetId="6" r:id="rId1"/>
    <sheet name="2023" sheetId="5" r:id="rId2"/>
    <sheet name="2022" sheetId="1" r:id="rId3"/>
    <sheet name="odhad 2023" sheetId="4" r:id="rId4"/>
  </sheets>
  <definedNames>
    <definedName name="_xlnm.Print_Area" localSheetId="0">'2024'!$A$1:$P$20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6" l="1"/>
  <c r="R28" i="6"/>
  <c r="R26" i="6" s="1"/>
  <c r="U28" i="6"/>
  <c r="R22" i="6"/>
  <c r="H28" i="6"/>
  <c r="F15" i="6"/>
  <c r="F18" i="6"/>
  <c r="F20" i="6" s="1"/>
  <c r="R19" i="6"/>
  <c r="R17" i="6" s="1"/>
  <c r="J35" i="6"/>
  <c r="O35" i="6" s="1"/>
  <c r="D31" i="6" l="1"/>
  <c r="J31" i="6" s="1"/>
  <c r="O31" i="6" s="1"/>
  <c r="N28" i="6"/>
  <c r="D28" i="6"/>
  <c r="J28" i="6" s="1"/>
  <c r="N11" i="6"/>
  <c r="L11" i="6"/>
  <c r="F18" i="5"/>
  <c r="G14" i="6"/>
  <c r="G13" i="6"/>
  <c r="G12" i="6"/>
  <c r="G11" i="6"/>
  <c r="G10" i="6"/>
  <c r="G9" i="6"/>
  <c r="G8" i="6"/>
  <c r="G7" i="6"/>
  <c r="G6" i="6"/>
  <c r="G5" i="6"/>
  <c r="G4" i="6"/>
  <c r="G3" i="6"/>
  <c r="N10" i="6"/>
  <c r="L10" i="6"/>
  <c r="L9" i="6"/>
  <c r="L6" i="6"/>
  <c r="N9" i="6"/>
  <c r="N8" i="6"/>
  <c r="L8" i="6"/>
  <c r="N7" i="6"/>
  <c r="L7" i="6"/>
  <c r="N6" i="6"/>
  <c r="O19" i="5"/>
  <c r="N5" i="6"/>
  <c r="L5" i="6"/>
  <c r="N4" i="6"/>
  <c r="L4" i="6"/>
  <c r="N3" i="6"/>
  <c r="L3" i="6"/>
  <c r="H2" i="6"/>
  <c r="H13" i="6" s="1"/>
  <c r="O14" i="6"/>
  <c r="P14" i="6" s="1"/>
  <c r="D14" i="6"/>
  <c r="O13" i="6"/>
  <c r="P13" i="6" s="1"/>
  <c r="D13" i="6"/>
  <c r="O12" i="6"/>
  <c r="P12" i="6" s="1"/>
  <c r="D12" i="6"/>
  <c r="D11" i="6"/>
  <c r="J11" i="6" s="1"/>
  <c r="D10" i="6"/>
  <c r="J10" i="6" s="1"/>
  <c r="D9" i="6"/>
  <c r="J9" i="6" s="1"/>
  <c r="D8" i="6"/>
  <c r="J8" i="6" s="1"/>
  <c r="D7" i="6"/>
  <c r="J7" i="6" s="1"/>
  <c r="D6" i="6"/>
  <c r="J6" i="6" s="1"/>
  <c r="D5" i="6"/>
  <c r="J5" i="6" s="1"/>
  <c r="D4" i="6"/>
  <c r="J4" i="6" s="1"/>
  <c r="D3" i="6"/>
  <c r="J3" i="6" s="1"/>
  <c r="P15" i="5"/>
  <c r="P14" i="5"/>
  <c r="N14" i="5"/>
  <c r="O14" i="5" s="1"/>
  <c r="J14" i="5"/>
  <c r="L19" i="5"/>
  <c r="L20" i="5"/>
  <c r="L17" i="5"/>
  <c r="G14" i="5"/>
  <c r="H14" i="5"/>
  <c r="L14" i="5"/>
  <c r="D14" i="5"/>
  <c r="N13" i="5"/>
  <c r="O13" i="5" s="1"/>
  <c r="P13" i="5" s="1"/>
  <c r="J13" i="5"/>
  <c r="G13" i="5"/>
  <c r="H13" i="5"/>
  <c r="L13" i="5"/>
  <c r="D13" i="5"/>
  <c r="O12" i="5"/>
  <c r="P12" i="5" s="1"/>
  <c r="N12" i="5"/>
  <c r="J12" i="5"/>
  <c r="L12" i="5"/>
  <c r="H12" i="5"/>
  <c r="G12" i="5"/>
  <c r="D12" i="5"/>
  <c r="P11" i="5"/>
  <c r="O11" i="5"/>
  <c r="N11" i="5"/>
  <c r="J11" i="5"/>
  <c r="G11" i="5"/>
  <c r="H11" i="5"/>
  <c r="L11" i="5"/>
  <c r="D11" i="5"/>
  <c r="F15" i="5"/>
  <c r="N10" i="5"/>
  <c r="O10" i="5" s="1"/>
  <c r="P10" i="5" s="1"/>
  <c r="L10" i="5"/>
  <c r="J10" i="5"/>
  <c r="D10" i="5"/>
  <c r="G10" i="5"/>
  <c r="H10" i="5"/>
  <c r="G4" i="5"/>
  <c r="G5" i="5"/>
  <c r="G6" i="5"/>
  <c r="G7" i="5"/>
  <c r="G8" i="5"/>
  <c r="G9" i="5"/>
  <c r="G3" i="5"/>
  <c r="N9" i="5"/>
  <c r="O9" i="5" s="1"/>
  <c r="P9" i="5" s="1"/>
  <c r="J9" i="5"/>
  <c r="H9" i="5"/>
  <c r="L9" i="5"/>
  <c r="D9" i="5"/>
  <c r="N8" i="5"/>
  <c r="O8" i="5" s="1"/>
  <c r="L8" i="5"/>
  <c r="J8" i="5"/>
  <c r="D8" i="5"/>
  <c r="O7" i="5"/>
  <c r="P7" i="5" s="1"/>
  <c r="N7" i="5"/>
  <c r="J7" i="5"/>
  <c r="H7" i="5"/>
  <c r="L7" i="5"/>
  <c r="D7" i="5"/>
  <c r="J6" i="5"/>
  <c r="N6" i="5"/>
  <c r="O6" i="5" s="1"/>
  <c r="P6" i="5" s="1"/>
  <c r="L6" i="5"/>
  <c r="D6" i="5"/>
  <c r="N5" i="5"/>
  <c r="L5" i="5"/>
  <c r="J5" i="5"/>
  <c r="D5" i="5"/>
  <c r="J4" i="5"/>
  <c r="N4" i="5"/>
  <c r="L4" i="5"/>
  <c r="J3" i="5"/>
  <c r="D4" i="5"/>
  <c r="M14" i="1"/>
  <c r="I14" i="1"/>
  <c r="G14" i="1"/>
  <c r="K14" i="1"/>
  <c r="D14" i="1"/>
  <c r="I13" i="1"/>
  <c r="M13" i="1"/>
  <c r="G13" i="1"/>
  <c r="K13" i="1"/>
  <c r="D13" i="1"/>
  <c r="N3" i="5"/>
  <c r="L3" i="5"/>
  <c r="H2" i="5"/>
  <c r="H5" i="5" s="1"/>
  <c r="D3" i="5"/>
  <c r="M14" i="4"/>
  <c r="I14" i="4"/>
  <c r="N14" i="4" s="1"/>
  <c r="G14" i="4"/>
  <c r="K14" i="4"/>
  <c r="D14" i="4"/>
  <c r="M13" i="4"/>
  <c r="I13" i="4"/>
  <c r="D13" i="4"/>
  <c r="K13" i="4"/>
  <c r="G13" i="4"/>
  <c r="G12" i="4"/>
  <c r="M27" i="4"/>
  <c r="F27" i="4"/>
  <c r="I27" i="4" s="1"/>
  <c r="N27" i="4" s="1"/>
  <c r="D27" i="4"/>
  <c r="F15" i="4"/>
  <c r="F21" i="4" s="1"/>
  <c r="F23" i="4" s="1"/>
  <c r="N12" i="4"/>
  <c r="M12" i="4"/>
  <c r="K12" i="4"/>
  <c r="I12" i="4"/>
  <c r="D12" i="4"/>
  <c r="M11" i="4"/>
  <c r="K11" i="4"/>
  <c r="I11" i="4"/>
  <c r="N11" i="4" s="1"/>
  <c r="G11" i="4"/>
  <c r="D11" i="4"/>
  <c r="M10" i="4"/>
  <c r="N10" i="4" s="1"/>
  <c r="K10" i="4"/>
  <c r="I10" i="4"/>
  <c r="G10" i="4"/>
  <c r="D10" i="4"/>
  <c r="M9" i="4"/>
  <c r="K9" i="4"/>
  <c r="I9" i="4"/>
  <c r="G9" i="4"/>
  <c r="D9" i="4"/>
  <c r="M8" i="4"/>
  <c r="N8" i="4" s="1"/>
  <c r="K8" i="4"/>
  <c r="I8" i="4"/>
  <c r="G8" i="4"/>
  <c r="D8" i="4"/>
  <c r="M7" i="4"/>
  <c r="K7" i="4"/>
  <c r="I7" i="4"/>
  <c r="G7" i="4"/>
  <c r="D7" i="4"/>
  <c r="M6" i="4"/>
  <c r="N6" i="4" s="1"/>
  <c r="K6" i="4"/>
  <c r="I6" i="4"/>
  <c r="G6" i="4"/>
  <c r="D6" i="4"/>
  <c r="M5" i="4"/>
  <c r="K5" i="4"/>
  <c r="I5" i="4"/>
  <c r="N5" i="4" s="1"/>
  <c r="G5" i="4"/>
  <c r="D5" i="4"/>
  <c r="M4" i="4"/>
  <c r="N4" i="4" s="1"/>
  <c r="K4" i="4"/>
  <c r="I4" i="4"/>
  <c r="G4" i="4"/>
  <c r="D4" i="4"/>
  <c r="M3" i="4"/>
  <c r="K3" i="4"/>
  <c r="K15" i="4" s="1"/>
  <c r="I3" i="4"/>
  <c r="G3" i="4"/>
  <c r="D3" i="4"/>
  <c r="M12" i="1"/>
  <c r="K12" i="1"/>
  <c r="I12" i="1"/>
  <c r="I11" i="1"/>
  <c r="M11" i="1"/>
  <c r="N11" i="1" s="1"/>
  <c r="G11" i="1"/>
  <c r="G12" i="1"/>
  <c r="D12" i="1"/>
  <c r="D11" i="1"/>
  <c r="K11" i="1"/>
  <c r="I10" i="1"/>
  <c r="N10" i="1" s="1"/>
  <c r="M10" i="1"/>
  <c r="G10" i="1"/>
  <c r="K10" i="1"/>
  <c r="D10" i="1"/>
  <c r="M9" i="1"/>
  <c r="I9" i="1"/>
  <c r="D9" i="1"/>
  <c r="K9" i="1"/>
  <c r="G9" i="1"/>
  <c r="M8" i="1"/>
  <c r="I8" i="1"/>
  <c r="G8" i="1"/>
  <c r="K8" i="1"/>
  <c r="D8" i="1"/>
  <c r="M7" i="1"/>
  <c r="I7" i="1"/>
  <c r="G7" i="1"/>
  <c r="K7" i="1"/>
  <c r="D7" i="1"/>
  <c r="I6" i="1"/>
  <c r="N6" i="1" s="1"/>
  <c r="M6" i="1"/>
  <c r="M5" i="1"/>
  <c r="K6" i="1"/>
  <c r="G6" i="1"/>
  <c r="D6" i="1"/>
  <c r="I5" i="1"/>
  <c r="K5" i="1"/>
  <c r="G5" i="1"/>
  <c r="D5" i="1"/>
  <c r="K4" i="1"/>
  <c r="M4" i="1"/>
  <c r="N4" i="1" s="1"/>
  <c r="M3" i="1"/>
  <c r="I4" i="1"/>
  <c r="G4" i="1"/>
  <c r="D4" i="1"/>
  <c r="D3" i="1"/>
  <c r="N3" i="1"/>
  <c r="I3" i="1"/>
  <c r="L15" i="6" l="1"/>
  <c r="O8" i="6"/>
  <c r="P8" i="6" s="1"/>
  <c r="H6" i="6"/>
  <c r="O10" i="6"/>
  <c r="P10" i="6" s="1"/>
  <c r="O3" i="6"/>
  <c r="P3" i="6" s="1"/>
  <c r="O9" i="6"/>
  <c r="P9" i="6" s="1"/>
  <c r="H7" i="6"/>
  <c r="O4" i="6"/>
  <c r="P4" i="6" s="1"/>
  <c r="O7" i="6"/>
  <c r="P7" i="6" s="1"/>
  <c r="O28" i="6"/>
  <c r="O26" i="6" s="1"/>
  <c r="R32" i="6" s="1"/>
  <c r="O11" i="6"/>
  <c r="P11" i="6" s="1"/>
  <c r="G18" i="6"/>
  <c r="O6" i="6"/>
  <c r="J15" i="6"/>
  <c r="O5" i="6"/>
  <c r="P5" i="6" s="1"/>
  <c r="D15" i="6"/>
  <c r="H3" i="6"/>
  <c r="H9" i="6"/>
  <c r="H12" i="6"/>
  <c r="N15" i="6"/>
  <c r="H5" i="6"/>
  <c r="H8" i="6"/>
  <c r="H11" i="6"/>
  <c r="H14" i="6"/>
  <c r="H4" i="6"/>
  <c r="H10" i="6"/>
  <c r="H3" i="5"/>
  <c r="H8" i="5"/>
  <c r="H6" i="5"/>
  <c r="H4" i="5"/>
  <c r="O4" i="5"/>
  <c r="P4" i="5" s="1"/>
  <c r="P8" i="5"/>
  <c r="J15" i="5"/>
  <c r="N13" i="4"/>
  <c r="K19" i="4"/>
  <c r="K20" i="4" s="1"/>
  <c r="N9" i="1"/>
  <c r="N14" i="1"/>
  <c r="N7" i="1"/>
  <c r="N12" i="1"/>
  <c r="N9" i="4"/>
  <c r="N7" i="4"/>
  <c r="O5" i="5"/>
  <c r="P5" i="5" s="1"/>
  <c r="N8" i="1"/>
  <c r="N3" i="4"/>
  <c r="L15" i="5"/>
  <c r="D15" i="5"/>
  <c r="N13" i="1"/>
  <c r="O3" i="5"/>
  <c r="N15" i="5"/>
  <c r="D15" i="4"/>
  <c r="K23" i="4"/>
  <c r="M15" i="4"/>
  <c r="K17" i="4"/>
  <c r="I15" i="4"/>
  <c r="M15" i="1"/>
  <c r="N5" i="1"/>
  <c r="N17" i="1" s="1"/>
  <c r="K3" i="1"/>
  <c r="K15" i="1" s="1"/>
  <c r="I15" i="1"/>
  <c r="F15" i="1"/>
  <c r="F21" i="1" s="1"/>
  <c r="G3" i="1"/>
  <c r="D15" i="1"/>
  <c r="L17" i="6" l="1"/>
  <c r="L19" i="6"/>
  <c r="L20" i="6"/>
  <c r="O19" i="6"/>
  <c r="O22" i="6" s="1"/>
  <c r="P6" i="6"/>
  <c r="O15" i="6"/>
  <c r="P15" i="6" s="1"/>
  <c r="K19" i="1"/>
  <c r="K17" i="1"/>
  <c r="O15" i="5"/>
  <c r="P3" i="5"/>
  <c r="N15" i="1"/>
  <c r="N17" i="4"/>
  <c r="N15" i="4"/>
  <c r="F23" i="1"/>
  <c r="K23" i="1" s="1"/>
  <c r="K20" i="1"/>
</calcChain>
</file>

<file path=xl/sharedStrings.xml><?xml version="1.0" encoding="utf-8"?>
<sst xmlns="http://schemas.openxmlformats.org/spreadsheetml/2006/main" count="162" uniqueCount="54">
  <si>
    <t>leden</t>
  </si>
  <si>
    <t>tuny</t>
  </si>
  <si>
    <t>SKO</t>
  </si>
  <si>
    <t>občané</t>
  </si>
  <si>
    <t>bez DPH</t>
  </si>
  <si>
    <t>celkem</t>
  </si>
  <si>
    <t>vč.DPH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</si>
  <si>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</si>
  <si>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</si>
  <si>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</si>
  <si>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</si>
  <si>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</si>
  <si>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</si>
  <si>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</si>
  <si>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</si>
  <si>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</si>
  <si>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</si>
  <si>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</si>
  <si>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</si>
  <si>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do limitu zbývá:</t>
  </si>
  <si>
    <t>tříděný</t>
  </si>
  <si>
    <t>odpady celkem</t>
  </si>
  <si>
    <t>kg/občan</t>
  </si>
  <si>
    <t xml:space="preserve">limit na občana </t>
  </si>
  <si>
    <t>směřujeme k:</t>
  </si>
  <si>
    <t>rok 2021</t>
  </si>
  <si>
    <t>úspora proti 2021</t>
  </si>
  <si>
    <t>průměrné tuny na svoz</t>
  </si>
  <si>
    <t xml:space="preserve">  </t>
  </si>
  <si>
    <t>tun</t>
  </si>
  <si>
    <t>meziročně</t>
  </si>
  <si>
    <t xml:space="preserve"> </t>
  </si>
  <si>
    <t>změna proti 2022</t>
  </si>
  <si>
    <t>k 1.1.2023</t>
  </si>
  <si>
    <t>změna proti 2023</t>
  </si>
  <si>
    <t>k 1.1.2024</t>
  </si>
  <si>
    <t>průměrný svoz:</t>
  </si>
  <si>
    <t>likvidace odpadu na skládce</t>
  </si>
  <si>
    <t>tuny SKO</t>
  </si>
  <si>
    <t>poplatníci</t>
  </si>
  <si>
    <t>Svoz KO</t>
  </si>
  <si>
    <t>SD Otaslavice</t>
  </si>
  <si>
    <t>Svoz NO</t>
  </si>
  <si>
    <t>Kompostárna</t>
  </si>
  <si>
    <t>výnosy</t>
  </si>
  <si>
    <t>poplatky</t>
  </si>
  <si>
    <t>EKO-KOM</t>
  </si>
  <si>
    <t>RF2024</t>
  </si>
  <si>
    <t>KO</t>
  </si>
  <si>
    <t>NO</t>
  </si>
  <si>
    <t>SD+kompost</t>
  </si>
  <si>
    <t>Celkem  F2025</t>
  </si>
  <si>
    <t>F2025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</si>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</sst>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č_-;\-* #,##0.00\ _K_č_-;_-* &quot;-&quot;??\ _K_č_-;_-@_-"/>
    <numFmt numFmtId="165" formatCode="#,##0.0"/>
    <numFmt numFmtId="166" formatCode="#,##0.000"/>
    <numFmt numFmtId="167" formatCode="0.000"/>
    <numFmt numFmtId="168" formatCode="0.0%"/>
    <numFmt numFmtId="169" formatCode="#,##0\ &quot;Kč&quot;"/>
    <numFmt numFmtId="170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0" fillId="0" borderId="1" xfId="0" applyBorder="1"/>
    <xf numFmtId="165" fontId="0" fillId="0" borderId="0" xfId="0" applyNumberFormat="1"/>
    <xf numFmtId="165" fontId="0" fillId="0" borderId="1" xfId="0" applyNumberFormat="1" applyBorder="1"/>
    <xf numFmtId="0" fontId="0" fillId="0" borderId="0" xfId="0" applyAlignment="1">
      <alignment horizontal="right"/>
    </xf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4" fontId="0" fillId="0" borderId="0" xfId="0" applyNumberFormat="1"/>
    <xf numFmtId="166" fontId="0" fillId="0" borderId="1" xfId="0" applyNumberFormat="1" applyBorder="1"/>
    <xf numFmtId="167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4" fontId="0" fillId="0" borderId="1" xfId="0" applyNumberFormat="1" applyBorder="1"/>
    <xf numFmtId="168" fontId="0" fillId="0" borderId="0" xfId="1" applyNumberFormat="1" applyFont="1"/>
    <xf numFmtId="164" fontId="0" fillId="0" borderId="0" xfId="2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168" fontId="6" fillId="0" borderId="0" xfId="1" applyNumberFormat="1" applyFont="1"/>
    <xf numFmtId="0" fontId="6" fillId="0" borderId="2" xfId="0" applyFont="1" applyBorder="1"/>
    <xf numFmtId="4" fontId="5" fillId="0" borderId="1" xfId="0" applyNumberFormat="1" applyFont="1" applyBorder="1"/>
    <xf numFmtId="168" fontId="7" fillId="0" borderId="0" xfId="1" applyNumberFormat="1" applyFont="1"/>
    <xf numFmtId="0" fontId="0" fillId="2" borderId="2" xfId="0" applyFill="1" applyBorder="1"/>
    <xf numFmtId="0" fontId="6" fillId="2" borderId="2" xfId="0" applyFont="1" applyFill="1" applyBorder="1"/>
    <xf numFmtId="167" fontId="0" fillId="2" borderId="0" xfId="0" applyNumberFormat="1" applyFill="1"/>
    <xf numFmtId="168" fontId="6" fillId="2" borderId="0" xfId="1" applyNumberFormat="1" applyFont="1" applyFill="1"/>
    <xf numFmtId="166" fontId="0" fillId="2" borderId="1" xfId="0" applyNumberFormat="1" applyFill="1" applyBorder="1"/>
    <xf numFmtId="2" fontId="0" fillId="2" borderId="0" xfId="0" applyNumberFormat="1" applyFill="1"/>
    <xf numFmtId="2" fontId="0" fillId="2" borderId="1" xfId="0" applyNumberFormat="1" applyFill="1" applyBorder="1"/>
    <xf numFmtId="2" fontId="0" fillId="3" borderId="0" xfId="0" applyNumberFormat="1" applyFill="1"/>
    <xf numFmtId="169" fontId="0" fillId="0" borderId="0" xfId="0" applyNumberFormat="1"/>
    <xf numFmtId="0" fontId="0" fillId="5" borderId="0" xfId="0" applyFill="1"/>
    <xf numFmtId="0" fontId="0" fillId="0" borderId="3" xfId="0" applyBorder="1"/>
    <xf numFmtId="0" fontId="5" fillId="0" borderId="4" xfId="0" applyFont="1" applyBorder="1" applyAlignment="1">
      <alignment horizontal="right"/>
    </xf>
    <xf numFmtId="0" fontId="5" fillId="0" borderId="3" xfId="0" applyFont="1" applyBorder="1"/>
    <xf numFmtId="170" fontId="5" fillId="0" borderId="5" xfId="0" applyNumberFormat="1" applyFont="1" applyBorder="1"/>
    <xf numFmtId="3" fontId="0" fillId="0" borderId="0" xfId="0" applyNumberFormat="1"/>
    <xf numFmtId="169" fontId="0" fillId="0" borderId="0" xfId="2" applyNumberFormat="1" applyFont="1"/>
    <xf numFmtId="0" fontId="5" fillId="0" borderId="1" xfId="0" applyFont="1" applyBorder="1"/>
    <xf numFmtId="169" fontId="5" fillId="0" borderId="1" xfId="0" applyNumberFormat="1" applyFont="1" applyBorder="1"/>
    <xf numFmtId="3" fontId="5" fillId="0" borderId="0" xfId="0" applyNumberFormat="1" applyFont="1"/>
    <xf numFmtId="0" fontId="5" fillId="0" borderId="5" xfId="0" applyFont="1" applyBorder="1"/>
    <xf numFmtId="3" fontId="0" fillId="4" borderId="0" xfId="0" applyNumberFormat="1" applyFill="1"/>
    <xf numFmtId="3" fontId="0" fillId="5" borderId="0" xfId="0" applyNumberFormat="1" applyFill="1"/>
    <xf numFmtId="3" fontId="5" fillId="0" borderId="5" xfId="0" applyNumberFormat="1" applyFont="1" applyBorder="1"/>
    <xf numFmtId="0" fontId="5" fillId="0" borderId="0" xfId="0" applyFont="1" applyAlignment="1">
      <alignment horizontal="center"/>
    </xf>
    <xf numFmtId="0" fontId="5" fillId="6" borderId="0" xfId="0" applyFont="1" applyFill="1"/>
    <xf numFmtId="0" fontId="5" fillId="6" borderId="3" xfId="0" applyFont="1" applyFill="1" applyBorder="1"/>
    <xf numFmtId="169" fontId="5" fillId="6" borderId="5" xfId="0" applyNumberFormat="1" applyFont="1" applyFill="1" applyBorder="1"/>
    <xf numFmtId="0" fontId="0" fillId="0" borderId="2" xfId="0" applyBorder="1" applyAlignment="1">
      <alignment horizontal="right"/>
    </xf>
    <xf numFmtId="168" fontId="0" fillId="6" borderId="6" xfId="1" applyNumberFormat="1" applyFont="1" applyFill="1" applyBorder="1"/>
  </cellXfs>
  <cellStyles count="4">
    <cellStyle name="Čárka" xfId="2" builtinId="3"/>
    <cellStyle name="Normální" xfId="0" builtinId="0"/>
    <cellStyle name="Normální 2" xfId="3" xr:uid="{C4AB3013-85E7-431D-B465-0C4C7DC02542}"/>
    <cellStyle name="Procenta" xfId="1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5BF-BB9F-417D-AF5A-3051494D1F7A}">
  <dimension ref="A1:U35"/>
  <sheetViews>
    <sheetView tabSelected="1" topLeftCell="A14" workbookViewId="0">
      <selection activeCell="N31" sqref="N31"/>
    </sheetView>
  </sheetViews>
  <sheetFormatPr defaultRowHeight="14.4" x14ac:dyDescent="0.3"/>
  <cols>
    <col min="1" max="1" width="5.6640625" customWidth="1"/>
    <col min="3" max="3" width="7.5546875" customWidth="1"/>
    <col min="4" max="4" width="10" bestFit="1" customWidth="1"/>
    <col min="5" max="5" width="3.33203125" customWidth="1"/>
    <col min="7" max="7" width="8.88671875" customWidth="1"/>
    <col min="9" max="9" width="2.5546875" customWidth="1"/>
    <col min="10" max="10" width="10" bestFit="1" customWidth="1"/>
    <col min="11" max="11" width="2.6640625" customWidth="1"/>
    <col min="12" max="12" width="12" customWidth="1"/>
    <col min="13" max="13" width="3.109375" customWidth="1"/>
    <col min="14" max="14" width="10.5546875" customWidth="1"/>
    <col min="15" max="15" width="15.44140625" bestFit="1" customWidth="1"/>
    <col min="17" max="17" width="10" bestFit="1" customWidth="1"/>
    <col min="18" max="18" width="13.33203125" customWidth="1"/>
  </cols>
  <sheetData>
    <row r="1" spans="1:18" ht="21" x14ac:dyDescent="0.4">
      <c r="A1" s="5" t="s">
        <v>2</v>
      </c>
      <c r="D1" t="s">
        <v>4</v>
      </c>
      <c r="H1" t="s">
        <v>4</v>
      </c>
      <c r="J1" t="s">
        <v>6</v>
      </c>
      <c r="N1" t="s">
        <v>6</v>
      </c>
      <c r="O1" t="s">
        <v>6</v>
      </c>
    </row>
    <row r="2" spans="1:18" ht="16.2" thickBot="1" x14ac:dyDescent="0.35">
      <c r="A2" s="6">
        <v>2024</v>
      </c>
      <c r="B2" s="7"/>
      <c r="C2" s="7" t="s">
        <v>3</v>
      </c>
      <c r="D2" s="7">
        <v>24.2</v>
      </c>
      <c r="E2" s="7"/>
      <c r="F2" s="23" t="s">
        <v>1</v>
      </c>
      <c r="G2" s="24" t="s">
        <v>30</v>
      </c>
      <c r="H2" s="7">
        <f>145+500+635</f>
        <v>1280</v>
      </c>
      <c r="I2" s="7"/>
      <c r="J2" s="7" t="s">
        <v>5</v>
      </c>
      <c r="K2" s="7"/>
      <c r="L2" s="23" t="s">
        <v>22</v>
      </c>
      <c r="N2" s="7" t="s">
        <v>20</v>
      </c>
      <c r="O2" s="7" t="s">
        <v>21</v>
      </c>
      <c r="P2" s="18" t="s">
        <v>30</v>
      </c>
    </row>
    <row r="3" spans="1:18" x14ac:dyDescent="0.3">
      <c r="B3" t="s">
        <v>0</v>
      </c>
      <c r="C3">
        <v>385</v>
      </c>
      <c r="D3" s="8">
        <f t="shared" ref="D3:D14" si="0">C3*$D$2</f>
        <v>9317</v>
      </c>
      <c r="E3" s="2"/>
      <c r="F3" s="25">
        <v>4.82</v>
      </c>
      <c r="G3" s="26">
        <f>F3/'2023'!F3-1</f>
        <v>-0.12203687445127298</v>
      </c>
      <c r="H3" s="8">
        <f t="shared" ref="H3:H14" si="1">F3*$H$2</f>
        <v>6169.6</v>
      </c>
      <c r="J3" s="8">
        <f>D3*1.21+0+845.67+2410+3703.45</f>
        <v>18232.689999999999</v>
      </c>
      <c r="L3" s="28">
        <f t="shared" ref="L3:L8" si="2">F3*1000/C3</f>
        <v>12.519480519480519</v>
      </c>
      <c r="N3" s="8">
        <f t="shared" ref="N3:N11" si="3">6677.17+537.94+8006.27</f>
        <v>15221.380000000001</v>
      </c>
      <c r="O3" s="8">
        <f t="shared" ref="O3:O14" si="4">N3+J3</f>
        <v>33454.07</v>
      </c>
      <c r="P3" s="19">
        <f>O3/'2023'!O3-1</f>
        <v>4.9868162643550651E-2</v>
      </c>
    </row>
    <row r="4" spans="1:18" x14ac:dyDescent="0.3">
      <c r="B4" t="s">
        <v>7</v>
      </c>
      <c r="C4">
        <v>385</v>
      </c>
      <c r="D4" s="8">
        <f t="shared" si="0"/>
        <v>9317</v>
      </c>
      <c r="E4" s="2"/>
      <c r="F4" s="25">
        <v>5.42</v>
      </c>
      <c r="G4" s="26">
        <f>F4/'2023'!F4-1</f>
        <v>7.5401092861479668E-2</v>
      </c>
      <c r="H4" s="8">
        <f t="shared" si="1"/>
        <v>6937.6</v>
      </c>
      <c r="J4" s="8">
        <f>D4*1.21+0+950.94+2710+4164.46</f>
        <v>19098.97</v>
      </c>
      <c r="L4" s="28">
        <f t="shared" si="2"/>
        <v>14.077922077922079</v>
      </c>
      <c r="N4" s="8">
        <f t="shared" si="3"/>
        <v>15221.380000000001</v>
      </c>
      <c r="O4" s="8">
        <f t="shared" si="4"/>
        <v>34320.350000000006</v>
      </c>
      <c r="P4" s="19">
        <f>O4/'2023'!O4-1</f>
        <v>9.7094774340263479E-2</v>
      </c>
    </row>
    <row r="5" spans="1:18" x14ac:dyDescent="0.3">
      <c r="B5" t="s">
        <v>8</v>
      </c>
      <c r="C5">
        <v>385</v>
      </c>
      <c r="D5" s="8">
        <f t="shared" si="0"/>
        <v>9317</v>
      </c>
      <c r="E5" s="2"/>
      <c r="F5" s="25">
        <v>5.7</v>
      </c>
      <c r="G5" s="26">
        <f>F5/'2023'!F5-1</f>
        <v>4.014598540145986E-2</v>
      </c>
      <c r="H5" s="8">
        <f t="shared" si="1"/>
        <v>7296</v>
      </c>
      <c r="J5" s="8">
        <f>D5*1.21+0+1000.07+2850+4379.6</f>
        <v>19503.239999999998</v>
      </c>
      <c r="L5" s="28">
        <f t="shared" si="2"/>
        <v>14.805194805194805</v>
      </c>
      <c r="N5" s="8">
        <f t="shared" si="3"/>
        <v>15221.380000000001</v>
      </c>
      <c r="O5" s="8">
        <f t="shared" si="4"/>
        <v>34724.619999999995</v>
      </c>
      <c r="P5" s="19">
        <f>O5/'2023'!O5-1</f>
        <v>9.0183749381515854E-2</v>
      </c>
    </row>
    <row r="6" spans="1:18" x14ac:dyDescent="0.3">
      <c r="B6" t="s">
        <v>9</v>
      </c>
      <c r="C6">
        <v>368</v>
      </c>
      <c r="D6" s="8">
        <f t="shared" si="0"/>
        <v>8905.6</v>
      </c>
      <c r="E6" s="2"/>
      <c r="F6" s="25">
        <v>8.85</v>
      </c>
      <c r="G6" s="26">
        <f>F6/'2023'!F6-1</f>
        <v>0.64501810449303698</v>
      </c>
      <c r="H6" s="8">
        <f>F6*$H$2</f>
        <v>11328</v>
      </c>
      <c r="J6" s="8">
        <f>D6*1.21+0+1552.73+4425+6799.9</f>
        <v>23553.406000000003</v>
      </c>
      <c r="L6" s="28">
        <f>F6*1000/C6</f>
        <v>24.048913043478262</v>
      </c>
      <c r="N6" s="8">
        <f t="shared" si="3"/>
        <v>15221.380000000001</v>
      </c>
      <c r="O6" s="8">
        <f t="shared" si="4"/>
        <v>38774.786000000007</v>
      </c>
      <c r="P6" s="19">
        <f>O6/'2023'!O6-1</f>
        <v>0.2223025501580258</v>
      </c>
    </row>
    <row r="7" spans="1:18" x14ac:dyDescent="0.3">
      <c r="B7" t="s">
        <v>10</v>
      </c>
      <c r="C7">
        <v>368</v>
      </c>
      <c r="D7" s="8">
        <f t="shared" si="0"/>
        <v>8905.6</v>
      </c>
      <c r="E7" s="2"/>
      <c r="F7" s="25">
        <v>5.69</v>
      </c>
      <c r="G7" s="26">
        <f>F7/'2023'!F7-1</f>
        <v>-0.2992610837438423</v>
      </c>
      <c r="H7" s="8">
        <f>F7*$H$2</f>
        <v>7283.2000000000007</v>
      </c>
      <c r="J7" s="8">
        <f>D7*1.21+0+998.31+2845+4371.91</f>
        <v>18990.995999999999</v>
      </c>
      <c r="L7" s="28">
        <f t="shared" si="2"/>
        <v>15.461956521739131</v>
      </c>
      <c r="N7" s="8">
        <f t="shared" si="3"/>
        <v>15221.380000000001</v>
      </c>
      <c r="O7" s="8">
        <f t="shared" si="4"/>
        <v>34212.376000000004</v>
      </c>
      <c r="P7" s="19">
        <f>O7/'2023'!O7-1</f>
        <v>-2.6829978723162062E-2</v>
      </c>
    </row>
    <row r="8" spans="1:18" x14ac:dyDescent="0.3">
      <c r="B8" t="s">
        <v>11</v>
      </c>
      <c r="C8">
        <v>368</v>
      </c>
      <c r="D8" s="8">
        <f t="shared" si="0"/>
        <v>8905.6</v>
      </c>
      <c r="E8" s="2"/>
      <c r="F8" s="25">
        <v>5.7</v>
      </c>
      <c r="G8" s="26">
        <f>F8/'2023'!F8-1</f>
        <v>0.13320079522862827</v>
      </c>
      <c r="H8" s="8">
        <f t="shared" si="1"/>
        <v>7296</v>
      </c>
      <c r="J8" s="8">
        <f>D8*1.21+0+1000.07+2850+4379.6</f>
        <v>19005.446</v>
      </c>
      <c r="L8" s="28">
        <f t="shared" si="2"/>
        <v>15.489130434782609</v>
      </c>
      <c r="N8" s="8">
        <f t="shared" si="3"/>
        <v>15221.380000000001</v>
      </c>
      <c r="O8" s="8">
        <f t="shared" si="4"/>
        <v>34226.826000000001</v>
      </c>
      <c r="P8" s="19">
        <f>O8/'2023'!O8-1</f>
        <v>9.8468420356703223E-2</v>
      </c>
    </row>
    <row r="9" spans="1:18" x14ac:dyDescent="0.3">
      <c r="B9" t="s">
        <v>12</v>
      </c>
      <c r="C9">
        <v>360</v>
      </c>
      <c r="D9" s="8">
        <f t="shared" si="0"/>
        <v>8712</v>
      </c>
      <c r="E9" s="2"/>
      <c r="F9" s="25">
        <v>5.64</v>
      </c>
      <c r="G9" s="26">
        <f>F9/'2023'!F9-1</f>
        <v>9.0909090909090828E-2</v>
      </c>
      <c r="H9" s="8">
        <f t="shared" si="1"/>
        <v>7219.2</v>
      </c>
      <c r="J9" s="8">
        <f>D9*1.21+0+989.54+2820+4333.49</f>
        <v>18684.550000000003</v>
      </c>
      <c r="L9" s="28">
        <f>F9*1000/C9</f>
        <v>15.666666666666666</v>
      </c>
      <c r="N9" s="8">
        <f t="shared" si="3"/>
        <v>15221.380000000001</v>
      </c>
      <c r="O9" s="8">
        <f t="shared" si="4"/>
        <v>33905.930000000008</v>
      </c>
      <c r="P9" s="19">
        <f>O9/'2023'!O9-1</f>
        <v>7.805227798073866E-2</v>
      </c>
    </row>
    <row r="10" spans="1:18" x14ac:dyDescent="0.3">
      <c r="B10" t="s">
        <v>13</v>
      </c>
      <c r="C10">
        <v>360</v>
      </c>
      <c r="D10" s="8">
        <f t="shared" si="0"/>
        <v>8712</v>
      </c>
      <c r="E10" s="2"/>
      <c r="F10" s="25">
        <v>5.74</v>
      </c>
      <c r="G10" s="26">
        <f>F10/'2023'!F10-1</f>
        <v>4.9360146252285242E-2</v>
      </c>
      <c r="H10" s="8">
        <f t="shared" si="1"/>
        <v>7347.2000000000007</v>
      </c>
      <c r="J10" s="8">
        <f>D10*1.21+0+1007.08+2870+4410.33</f>
        <v>18828.93</v>
      </c>
      <c r="L10" s="28">
        <f>F10*1000/C10</f>
        <v>15.944444444444445</v>
      </c>
      <c r="N10" s="8">
        <f t="shared" si="3"/>
        <v>15221.380000000001</v>
      </c>
      <c r="O10" s="8">
        <f t="shared" si="4"/>
        <v>34050.31</v>
      </c>
      <c r="P10" s="19">
        <f>O10/'2023'!O10-1</f>
        <v>6.94481697684044E-2</v>
      </c>
    </row>
    <row r="11" spans="1:18" x14ac:dyDescent="0.3">
      <c r="B11" t="s">
        <v>14</v>
      </c>
      <c r="C11">
        <v>360</v>
      </c>
      <c r="D11" s="8">
        <f t="shared" si="0"/>
        <v>8712</v>
      </c>
      <c r="E11" s="2"/>
      <c r="F11" s="25">
        <v>8.66</v>
      </c>
      <c r="G11" s="26">
        <f>F11/'2023'!F11-1</f>
        <v>0.53546099290780158</v>
      </c>
      <c r="H11" s="8">
        <f t="shared" si="1"/>
        <v>11084.8</v>
      </c>
      <c r="J11" s="8">
        <f>D11*1.21+0+1519.4+4330+6653.91</f>
        <v>23044.829999999998</v>
      </c>
      <c r="L11" s="28">
        <f>F11*1000/C11</f>
        <v>24.055555555555557</v>
      </c>
      <c r="N11" s="8">
        <f t="shared" si="3"/>
        <v>15221.380000000001</v>
      </c>
      <c r="O11" s="8">
        <f t="shared" si="4"/>
        <v>38266.21</v>
      </c>
      <c r="P11" s="19">
        <f>O11/'2023'!O11-1</f>
        <v>0.19361683943124919</v>
      </c>
    </row>
    <row r="12" spans="1:18" x14ac:dyDescent="0.3">
      <c r="B12" t="s">
        <v>15</v>
      </c>
      <c r="D12" s="8">
        <f t="shared" si="0"/>
        <v>0</v>
      </c>
      <c r="E12" s="2"/>
      <c r="F12" s="25"/>
      <c r="G12" s="26">
        <f>F12/'2023'!F12-1</f>
        <v>-1</v>
      </c>
      <c r="H12" s="8">
        <f t="shared" si="1"/>
        <v>0</v>
      </c>
      <c r="J12" s="8"/>
      <c r="L12" s="28"/>
      <c r="N12" s="8"/>
      <c r="O12" s="8">
        <f t="shared" si="4"/>
        <v>0</v>
      </c>
      <c r="P12" s="19">
        <f>O12/'2023'!O12-1</f>
        <v>-1</v>
      </c>
    </row>
    <row r="13" spans="1:18" x14ac:dyDescent="0.3">
      <c r="B13" t="s">
        <v>16</v>
      </c>
      <c r="D13" s="8">
        <f t="shared" si="0"/>
        <v>0</v>
      </c>
      <c r="E13" s="2"/>
      <c r="F13" s="25"/>
      <c r="G13" s="26">
        <f>F13/'2023'!F13-1</f>
        <v>-1</v>
      </c>
      <c r="H13" s="8">
        <f t="shared" si="1"/>
        <v>0</v>
      </c>
      <c r="J13" s="8"/>
      <c r="L13" s="28"/>
      <c r="N13" s="8"/>
      <c r="O13" s="8">
        <f t="shared" si="4"/>
        <v>0</v>
      </c>
      <c r="P13" s="19">
        <f>O13/'2023'!O13-1</f>
        <v>-1</v>
      </c>
      <c r="Q13" t="s">
        <v>28</v>
      </c>
    </row>
    <row r="14" spans="1:18" x14ac:dyDescent="0.3">
      <c r="B14" t="s">
        <v>17</v>
      </c>
      <c r="D14" s="8">
        <f t="shared" si="0"/>
        <v>0</v>
      </c>
      <c r="E14" s="2"/>
      <c r="F14" s="25"/>
      <c r="G14" s="26">
        <f>F14/'2023'!F14-1</f>
        <v>-1</v>
      </c>
      <c r="H14" s="8">
        <f t="shared" si="1"/>
        <v>0</v>
      </c>
      <c r="J14" s="8"/>
      <c r="L14" s="28"/>
      <c r="N14" s="8"/>
      <c r="O14" s="8">
        <f t="shared" si="4"/>
        <v>0</v>
      </c>
      <c r="P14" s="19">
        <f>O14/'2023'!O14-1</f>
        <v>-1</v>
      </c>
    </row>
    <row r="15" spans="1:18" ht="15" thickBot="1" x14ac:dyDescent="0.35">
      <c r="A15" s="1"/>
      <c r="B15" s="1" t="s">
        <v>18</v>
      </c>
      <c r="C15" s="1"/>
      <c r="D15" s="13">
        <f>SUM(D3:D14)</f>
        <v>80803.799999999988</v>
      </c>
      <c r="E15" s="3"/>
      <c r="F15" s="27">
        <f>SUM(F3:F14)</f>
        <v>56.22</v>
      </c>
      <c r="G15" s="27"/>
      <c r="H15" s="3"/>
      <c r="I15" s="1"/>
      <c r="J15" s="13">
        <f>SUM(J3:J14)</f>
        <v>178943.05799999999</v>
      </c>
      <c r="L15" s="29">
        <f>SUM(L3:L14)</f>
        <v>152.06926406926408</v>
      </c>
      <c r="N15" s="21">
        <f t="shared" ref="N15" si="5">SUM(N3:N14)</f>
        <v>136992.42000000001</v>
      </c>
      <c r="O15" s="21">
        <f>SUM(O3:O14)</f>
        <v>315935.478</v>
      </c>
      <c r="P15" s="22">
        <f>O15/'2023'!O15-1</f>
        <v>-0.18606768765615345</v>
      </c>
    </row>
    <row r="16" spans="1:18" ht="15.6" thickTop="1" thickBot="1" x14ac:dyDescent="0.35">
      <c r="B16" t="s">
        <v>35</v>
      </c>
      <c r="C16">
        <v>385</v>
      </c>
      <c r="K16" s="4" t="s">
        <v>23</v>
      </c>
      <c r="L16" s="17">
        <v>170</v>
      </c>
      <c r="R16" s="46" t="s">
        <v>47</v>
      </c>
    </row>
    <row r="17" spans="1:21" ht="15" thickBot="1" x14ac:dyDescent="0.35">
      <c r="K17" s="4" t="s">
        <v>19</v>
      </c>
      <c r="L17" s="8">
        <f>L15-L16</f>
        <v>-17.930735930735921</v>
      </c>
      <c r="Q17" s="35" t="s">
        <v>44</v>
      </c>
      <c r="R17" s="36">
        <f>Q19+R19</f>
        <v>546442</v>
      </c>
    </row>
    <row r="18" spans="1:21" x14ac:dyDescent="0.3">
      <c r="E18" s="4" t="s">
        <v>36</v>
      </c>
      <c r="F18">
        <f>F15/20</f>
        <v>2.8109999999999999</v>
      </c>
      <c r="G18" s="26">
        <f>F18/'2023'!F18-1</f>
        <v>7.6250314805025088E-2</v>
      </c>
      <c r="O18" s="46" t="s">
        <v>47</v>
      </c>
      <c r="Q18" t="s">
        <v>45</v>
      </c>
      <c r="R18" t="s">
        <v>46</v>
      </c>
      <c r="U18" t="s">
        <v>31</v>
      </c>
    </row>
    <row r="19" spans="1:21" ht="15" thickBot="1" x14ac:dyDescent="0.35">
      <c r="J19" t="s">
        <v>24</v>
      </c>
      <c r="L19" s="30">
        <f>((L15)/20)*27</f>
        <v>205.2935064935065</v>
      </c>
      <c r="N19" t="s">
        <v>48</v>
      </c>
      <c r="O19" s="38">
        <f>((O3+O4+O5+O6+O7+O8+O9+O10+O11+O12+O13+O14)/8)*12</f>
        <v>473903.217</v>
      </c>
      <c r="Q19" s="8">
        <v>306442</v>
      </c>
      <c r="R19" s="31">
        <f>180/3*4000</f>
        <v>240000</v>
      </c>
    </row>
    <row r="20" spans="1:21" ht="15" thickBot="1" x14ac:dyDescent="0.35">
      <c r="D20" s="35"/>
      <c r="E20" s="34" t="s">
        <v>47</v>
      </c>
      <c r="F20" s="42">
        <f>F18*27</f>
        <v>75.896999999999991</v>
      </c>
      <c r="J20" s="4" t="s">
        <v>34</v>
      </c>
      <c r="L20" s="14">
        <f>L19/'2023'!L15-1</f>
        <v>7.4933131967885203E-2</v>
      </c>
      <c r="N20" t="s">
        <v>49</v>
      </c>
      <c r="O20" s="31">
        <v>9339</v>
      </c>
    </row>
    <row r="21" spans="1:21" ht="15" thickBot="1" x14ac:dyDescent="0.35">
      <c r="E21" s="4"/>
      <c r="J21" s="4"/>
      <c r="L21" s="14"/>
      <c r="N21" t="s">
        <v>50</v>
      </c>
      <c r="O21" s="31">
        <v>60000</v>
      </c>
      <c r="Q21" s="17"/>
      <c r="R21" s="17" t="s">
        <v>47</v>
      </c>
    </row>
    <row r="22" spans="1:21" ht="15" thickBot="1" x14ac:dyDescent="0.35">
      <c r="E22" s="4"/>
      <c r="J22" s="4"/>
      <c r="L22" s="14"/>
      <c r="N22" s="39" t="s">
        <v>47</v>
      </c>
      <c r="O22" s="40">
        <f>SUM(O19:O21)</f>
        <v>543242.21699999995</v>
      </c>
      <c r="Q22" s="35" t="s">
        <v>53</v>
      </c>
      <c r="R22" s="36">
        <f>R17-O22</f>
        <v>3199.783000000054</v>
      </c>
    </row>
    <row r="23" spans="1:21" ht="15" thickTop="1" x14ac:dyDescent="0.3">
      <c r="D23" s="4"/>
    </row>
    <row r="24" spans="1:21" ht="15" thickBot="1" x14ac:dyDescent="0.35">
      <c r="A24" s="7"/>
      <c r="B24" s="7"/>
      <c r="C24" s="7"/>
      <c r="D24" s="50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1" ht="15" thickBot="1" x14ac:dyDescent="0.35">
      <c r="D25" s="4"/>
      <c r="Q25" t="s">
        <v>44</v>
      </c>
    </row>
    <row r="26" spans="1:21" ht="15" thickBot="1" x14ac:dyDescent="0.35">
      <c r="A26" s="17" t="s">
        <v>52</v>
      </c>
      <c r="M26" s="33"/>
      <c r="N26" s="34" t="s">
        <v>51</v>
      </c>
      <c r="O26" s="45">
        <f>O28+O31+O33+O35</f>
        <v>526944.28399999999</v>
      </c>
      <c r="Q26" s="17" t="s">
        <v>52</v>
      </c>
      <c r="R26" s="41">
        <f>R28+R29</f>
        <v>527000</v>
      </c>
    </row>
    <row r="27" spans="1:21" x14ac:dyDescent="0.3">
      <c r="C27" t="s">
        <v>39</v>
      </c>
      <c r="F27" t="s">
        <v>38</v>
      </c>
      <c r="G27" t="s">
        <v>37</v>
      </c>
      <c r="R27" s="37"/>
    </row>
    <row r="28" spans="1:21" ht="15" thickBot="1" x14ac:dyDescent="0.35">
      <c r="A28" t="s">
        <v>40</v>
      </c>
      <c r="C28" s="43">
        <v>370</v>
      </c>
      <c r="D28" s="37">
        <f>C29*C28</f>
        <v>110667.00000000001</v>
      </c>
      <c r="E28" s="37"/>
      <c r="F28" s="44">
        <v>66.900000000000006</v>
      </c>
      <c r="G28" s="37">
        <v>1380</v>
      </c>
      <c r="H28" s="37">
        <f>G28*F28</f>
        <v>92322.000000000015</v>
      </c>
      <c r="I28" s="37"/>
      <c r="J28" s="37">
        <f>(H28+D28)*1.21</f>
        <v>245616.69000000003</v>
      </c>
      <c r="K28" s="37"/>
      <c r="L28" s="37"/>
      <c r="M28" s="37"/>
      <c r="N28" s="37">
        <f>(8*8277.5+2*2734.2+7*12137)*1.21</f>
        <v>189543.35399999999</v>
      </c>
      <c r="O28" s="37">
        <f t="shared" ref="O28" si="6">N28+J28</f>
        <v>435160.04399999999</v>
      </c>
      <c r="Q28" s="32">
        <v>900</v>
      </c>
      <c r="R28" s="37">
        <f>341.11*Q28+1</f>
        <v>307000</v>
      </c>
      <c r="S28" t="s">
        <v>45</v>
      </c>
      <c r="U28">
        <f>307000/900</f>
        <v>341.11111111111109</v>
      </c>
    </row>
    <row r="29" spans="1:21" ht="15" thickBot="1" x14ac:dyDescent="0.35">
      <c r="C29">
        <v>299.10000000000002</v>
      </c>
      <c r="F29" s="51">
        <f>F28/F20-1</f>
        <v>-0.11854223487094329</v>
      </c>
      <c r="R29" s="37">
        <v>220000</v>
      </c>
      <c r="S29" t="s">
        <v>46</v>
      </c>
    </row>
    <row r="31" spans="1:21" ht="15" thickBot="1" x14ac:dyDescent="0.35">
      <c r="A31" t="s">
        <v>42</v>
      </c>
      <c r="C31">
        <v>5.6</v>
      </c>
      <c r="D31" s="37">
        <f>C31*C28*2</f>
        <v>4144</v>
      </c>
      <c r="F31" s="37"/>
      <c r="G31" s="37"/>
      <c r="H31" s="43">
        <v>5500</v>
      </c>
      <c r="I31" s="37"/>
      <c r="J31" s="37">
        <f>(H31+D31)*1.21</f>
        <v>11669.24</v>
      </c>
      <c r="K31" s="37"/>
      <c r="L31" s="37"/>
      <c r="M31" s="37"/>
      <c r="N31" s="37"/>
      <c r="O31" s="37">
        <f>N31+J31</f>
        <v>11669.24</v>
      </c>
      <c r="Q31" s="47"/>
      <c r="R31" s="47" t="s">
        <v>52</v>
      </c>
    </row>
    <row r="32" spans="1:21" ht="15" thickBot="1" x14ac:dyDescent="0.35">
      <c r="F32" s="37"/>
      <c r="G32" s="37"/>
      <c r="Q32" s="48" t="s">
        <v>53</v>
      </c>
      <c r="R32" s="49">
        <f>R26-O26</f>
        <v>55.716000000014901</v>
      </c>
    </row>
    <row r="33" spans="1:15" x14ac:dyDescent="0.3">
      <c r="A33" t="s">
        <v>41</v>
      </c>
      <c r="F33" s="37"/>
      <c r="G33" s="37"/>
      <c r="H33" s="37"/>
      <c r="I33" s="37"/>
      <c r="J33" s="37"/>
      <c r="K33" s="37"/>
      <c r="L33" s="37"/>
      <c r="M33" s="37"/>
      <c r="N33" s="37"/>
      <c r="O33" s="43">
        <v>42000</v>
      </c>
    </row>
    <row r="34" spans="1:15" x14ac:dyDescent="0.3">
      <c r="F34" s="37"/>
      <c r="G34" s="37"/>
      <c r="H34" s="37"/>
      <c r="I34" s="37"/>
      <c r="J34" s="37"/>
      <c r="K34" s="37"/>
      <c r="L34" s="37"/>
      <c r="M34" s="37"/>
      <c r="N34" s="37"/>
    </row>
    <row r="35" spans="1:15" x14ac:dyDescent="0.3">
      <c r="A35" t="s">
        <v>43</v>
      </c>
      <c r="F35" s="43">
        <v>50</v>
      </c>
      <c r="G35" s="44">
        <v>630</v>
      </c>
      <c r="H35" s="37"/>
      <c r="I35" s="37"/>
      <c r="J35" s="37">
        <f>F35*G35*1.21</f>
        <v>38115</v>
      </c>
      <c r="K35" s="37"/>
      <c r="L35" s="37"/>
      <c r="M35" s="37"/>
      <c r="N35" s="37"/>
      <c r="O35" s="37">
        <f t="shared" ref="O35" si="7">N35+J35</f>
        <v>38115</v>
      </c>
    </row>
  </sheetData>
  <conditionalFormatting sqref="G3:G14">
    <cfRule type="cellIs" dxfId="11" priority="4" operator="greaterThan">
      <formula>0</formula>
    </cfRule>
  </conditionalFormatting>
  <conditionalFormatting sqref="G18">
    <cfRule type="cellIs" dxfId="10" priority="1" operator="greaterThan">
      <formula>0</formula>
    </cfRule>
  </conditionalFormatting>
  <conditionalFormatting sqref="I17 L17">
    <cfRule type="cellIs" dxfId="9" priority="5" operator="greaterThan">
      <formula>0</formula>
    </cfRule>
  </conditionalFormatting>
  <conditionalFormatting sqref="L20:L22">
    <cfRule type="cellIs" dxfId="8" priority="2" operator="greaterThan">
      <formula>0</formula>
    </cfRule>
  </conditionalFormatting>
  <conditionalFormatting sqref="P3:P15">
    <cfRule type="cellIs" dxfId="7" priority="3" operator="greaterThan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workbookViewId="0">
      <selection activeCell="F15" sqref="F15"/>
    </sheetView>
  </sheetViews>
  <sheetFormatPr defaultRowHeight="14.4" x14ac:dyDescent="0.3"/>
  <cols>
    <col min="4" max="4" width="10" bestFit="1" customWidth="1"/>
    <col min="5" max="5" width="4.5546875" customWidth="1"/>
    <col min="7" max="7" width="8.88671875" customWidth="1"/>
    <col min="9" max="9" width="2.5546875" customWidth="1"/>
    <col min="10" max="10" width="10" bestFit="1" customWidth="1"/>
    <col min="11" max="11" width="2.6640625" customWidth="1"/>
    <col min="13" max="13" width="3.109375" customWidth="1"/>
    <col min="14" max="14" width="10.5546875" customWidth="1"/>
    <col min="15" max="15" width="14.5546875" bestFit="1" customWidth="1"/>
  </cols>
  <sheetData>
    <row r="1" spans="1:17" ht="21" x14ac:dyDescent="0.4">
      <c r="A1" s="5" t="s">
        <v>2</v>
      </c>
      <c r="D1" t="s">
        <v>4</v>
      </c>
      <c r="H1" t="s">
        <v>4</v>
      </c>
      <c r="J1" t="s">
        <v>6</v>
      </c>
      <c r="N1" t="s">
        <v>6</v>
      </c>
      <c r="O1" t="s">
        <v>6</v>
      </c>
    </row>
    <row r="2" spans="1:17" ht="16.2" thickBot="1" x14ac:dyDescent="0.35">
      <c r="A2" s="6">
        <v>2023</v>
      </c>
      <c r="B2" s="7"/>
      <c r="C2" s="7" t="s">
        <v>3</v>
      </c>
      <c r="D2" s="7">
        <v>24.2</v>
      </c>
      <c r="E2" s="7">
        <v>20.166699999999999</v>
      </c>
      <c r="F2" s="7" t="s">
        <v>1</v>
      </c>
      <c r="G2" s="20" t="s">
        <v>30</v>
      </c>
      <c r="H2" s="7">
        <f>145+500+545</f>
        <v>1190</v>
      </c>
      <c r="I2" s="7"/>
      <c r="J2" s="7" t="s">
        <v>5</v>
      </c>
      <c r="K2" s="7"/>
      <c r="L2" s="7" t="s">
        <v>22</v>
      </c>
      <c r="N2" s="7" t="s">
        <v>20</v>
      </c>
      <c r="O2" s="7" t="s">
        <v>21</v>
      </c>
      <c r="P2" s="18" t="s">
        <v>30</v>
      </c>
    </row>
    <row r="3" spans="1:17" x14ac:dyDescent="0.3">
      <c r="B3" t="s">
        <v>0</v>
      </c>
      <c r="C3">
        <v>370</v>
      </c>
      <c r="D3" s="8">
        <f t="shared" ref="D3:D9" si="0">C3*$D$2</f>
        <v>8954</v>
      </c>
      <c r="E3" s="2"/>
      <c r="F3" s="10">
        <v>5.4899800000000001</v>
      </c>
      <c r="G3" s="19">
        <f>F3/'2022'!F3-1</f>
        <v>1.8248241781904095E-3</v>
      </c>
      <c r="H3" s="8">
        <f t="shared" ref="H3" si="1">F3*$H$2</f>
        <v>6533.0762000000004</v>
      </c>
      <c r="J3" s="8">
        <f>10297.1+0+915.46+2745+3440.86</f>
        <v>17398.420000000002</v>
      </c>
      <c r="L3" s="11">
        <f t="shared" ref="L3:L14" si="2">F3*1000/C3</f>
        <v>14.837783783783784</v>
      </c>
      <c r="N3" s="8">
        <f t="shared" ref="N3:N14" si="3">6346.07+511.27+7609.26</f>
        <v>14466.6</v>
      </c>
      <c r="O3" s="8">
        <f t="shared" ref="O3" si="4">N3+J3</f>
        <v>31865.020000000004</v>
      </c>
      <c r="P3" s="19">
        <f>O3/'2022'!N3-1</f>
        <v>0.25640999354939464</v>
      </c>
    </row>
    <row r="4" spans="1:17" x14ac:dyDescent="0.3">
      <c r="B4" t="s">
        <v>7</v>
      </c>
      <c r="C4">
        <v>370</v>
      </c>
      <c r="D4" s="8">
        <f t="shared" si="0"/>
        <v>8954</v>
      </c>
      <c r="E4" s="2"/>
      <c r="F4" s="10">
        <v>5.0399799999999999</v>
      </c>
      <c r="G4" s="19">
        <f>F4/'2022'!F4-1</f>
        <v>1.6129097294747208E-2</v>
      </c>
      <c r="H4" s="8">
        <f t="shared" ref="H4:H11" si="5">F4*$H$2</f>
        <v>5997.5761999999995</v>
      </c>
      <c r="J4" s="8">
        <f>10297.1+0+840.42+2520+3158.82</f>
        <v>16816.34</v>
      </c>
      <c r="L4" s="11">
        <f t="shared" si="2"/>
        <v>13.621567567567567</v>
      </c>
      <c r="N4" s="8">
        <f t="shared" si="3"/>
        <v>14466.6</v>
      </c>
      <c r="O4" s="8">
        <f t="shared" ref="O4:O9" si="6">N4+J4</f>
        <v>31282.940000000002</v>
      </c>
      <c r="P4" s="19">
        <f>O4/'2022'!N4-1</f>
        <v>0.26400109256321636</v>
      </c>
    </row>
    <row r="5" spans="1:17" x14ac:dyDescent="0.3">
      <c r="B5" t="s">
        <v>8</v>
      </c>
      <c r="C5">
        <v>370</v>
      </c>
      <c r="D5" s="8">
        <f t="shared" si="0"/>
        <v>8954</v>
      </c>
      <c r="E5" s="2"/>
      <c r="F5" s="10">
        <v>5.48</v>
      </c>
      <c r="G5" s="19">
        <f>F5/'2022'!F5-1</f>
        <v>4.5805518341673235E-2</v>
      </c>
      <c r="H5" s="8">
        <f t="shared" si="5"/>
        <v>6521.2000000000007</v>
      </c>
      <c r="J5" s="8">
        <f>10297.1+0+913.79+2740+3434.59</f>
        <v>17385.48</v>
      </c>
      <c r="L5" s="11">
        <f t="shared" si="2"/>
        <v>14.810810810810811</v>
      </c>
      <c r="N5" s="8">
        <f t="shared" si="3"/>
        <v>14466.6</v>
      </c>
      <c r="O5" s="8">
        <f t="shared" si="6"/>
        <v>31852.080000000002</v>
      </c>
      <c r="P5" s="19">
        <f>O5/'2022'!N5-1</f>
        <v>0.27006370239466126</v>
      </c>
    </row>
    <row r="6" spans="1:17" x14ac:dyDescent="0.3">
      <c r="B6" t="s">
        <v>9</v>
      </c>
      <c r="C6">
        <v>370</v>
      </c>
      <c r="D6" s="8">
        <f t="shared" si="0"/>
        <v>8954</v>
      </c>
      <c r="E6" s="2"/>
      <c r="F6" s="10">
        <v>5.37988</v>
      </c>
      <c r="G6" s="19">
        <f>F6/'2022'!F6-1</f>
        <v>7.5980303921215686E-2</v>
      </c>
      <c r="H6" s="8">
        <f t="shared" si="5"/>
        <v>6402.0572000000002</v>
      </c>
      <c r="J6" s="8">
        <f>10297.1+0+897.12+2690+3371.92</f>
        <v>17256.14</v>
      </c>
      <c r="L6" s="11">
        <f t="shared" si="2"/>
        <v>14.540216216216216</v>
      </c>
      <c r="N6" s="8">
        <f t="shared" si="3"/>
        <v>14466.6</v>
      </c>
      <c r="O6" s="8">
        <f t="shared" si="6"/>
        <v>31722.739999999998</v>
      </c>
      <c r="P6" s="19">
        <f>O6/'2022'!N6-1</f>
        <v>0.2793346421318037</v>
      </c>
    </row>
    <row r="7" spans="1:17" x14ac:dyDescent="0.3">
      <c r="B7" t="s">
        <v>10</v>
      </c>
      <c r="C7">
        <v>366</v>
      </c>
      <c r="D7" s="8">
        <f t="shared" si="0"/>
        <v>8857.1999999999989</v>
      </c>
      <c r="E7" s="2"/>
      <c r="F7" s="10">
        <v>8.1199999999999992</v>
      </c>
      <c r="G7" s="19">
        <f>F7/'2022'!F7-1</f>
        <v>9.582090075938221E-2</v>
      </c>
      <c r="H7" s="8">
        <f t="shared" si="5"/>
        <v>9662.7999999999993</v>
      </c>
      <c r="J7" s="8">
        <f>10185.78+1354.01+4060+5089.21</f>
        <v>20689</v>
      </c>
      <c r="L7" s="11">
        <f t="shared" si="2"/>
        <v>22.185792349726775</v>
      </c>
      <c r="N7" s="8">
        <f t="shared" si="3"/>
        <v>14466.6</v>
      </c>
      <c r="O7" s="8">
        <f t="shared" si="6"/>
        <v>35155.599999999999</v>
      </c>
      <c r="P7" s="19">
        <f>O7/'2022'!N7-1</f>
        <v>0.27207227548515589</v>
      </c>
    </row>
    <row r="8" spans="1:17" x14ac:dyDescent="0.3">
      <c r="B8" t="s">
        <v>11</v>
      </c>
      <c r="C8">
        <v>366</v>
      </c>
      <c r="D8" s="8">
        <f t="shared" si="0"/>
        <v>8857.1999999999989</v>
      </c>
      <c r="E8" s="2"/>
      <c r="F8" s="10">
        <v>5.03</v>
      </c>
      <c r="G8" s="19">
        <f>F8/'2022'!F8-1</f>
        <v>8.0200722247383283E-3</v>
      </c>
      <c r="H8" s="8">
        <f t="shared" si="5"/>
        <v>5985.7000000000007</v>
      </c>
      <c r="J8" s="8">
        <f>10185.78+838.75+2515+3152.55</f>
        <v>16692.080000000002</v>
      </c>
      <c r="L8" s="11">
        <f t="shared" si="2"/>
        <v>13.743169398907105</v>
      </c>
      <c r="N8" s="8">
        <f t="shared" si="3"/>
        <v>14466.6</v>
      </c>
      <c r="O8" s="8">
        <f t="shared" si="6"/>
        <v>31158.68</v>
      </c>
      <c r="P8" s="19">
        <f>O8/'2022'!N8-1</f>
        <v>0.25718412717625938</v>
      </c>
    </row>
    <row r="9" spans="1:17" x14ac:dyDescent="0.3">
      <c r="B9" t="s">
        <v>12</v>
      </c>
      <c r="C9">
        <v>370</v>
      </c>
      <c r="D9" s="8">
        <f t="shared" si="0"/>
        <v>8954</v>
      </c>
      <c r="E9" s="2"/>
      <c r="F9" s="10">
        <v>5.17</v>
      </c>
      <c r="G9" s="19">
        <f>F9/'2022'!F9-1</f>
        <v>-1.9305019305019266E-3</v>
      </c>
      <c r="H9" s="8">
        <f t="shared" si="5"/>
        <v>6152.3</v>
      </c>
      <c r="J9" s="8">
        <f>10297.1+862.1+2585+3240.3</f>
        <v>16984.5</v>
      </c>
      <c r="L9" s="11">
        <f t="shared" si="2"/>
        <v>13.972972972972974</v>
      </c>
      <c r="N9" s="8">
        <f t="shared" si="3"/>
        <v>14466.6</v>
      </c>
      <c r="O9" s="8">
        <f t="shared" si="6"/>
        <v>31451.1</v>
      </c>
      <c r="P9" s="19">
        <f>O9/'2022'!N9-1</f>
        <v>0.18081581194110319</v>
      </c>
    </row>
    <row r="10" spans="1:17" x14ac:dyDescent="0.3">
      <c r="B10" t="s">
        <v>13</v>
      </c>
      <c r="C10">
        <v>370</v>
      </c>
      <c r="D10" s="8">
        <f t="shared" ref="D10:D11" si="7">C10*$D$2</f>
        <v>8954</v>
      </c>
      <c r="E10" s="2"/>
      <c r="F10" s="10">
        <v>5.47</v>
      </c>
      <c r="G10" s="19">
        <f>F10/'2022'!F10-1</f>
        <v>6.8363548295110377E-2</v>
      </c>
      <c r="H10" s="8">
        <f t="shared" si="5"/>
        <v>6509.2999999999993</v>
      </c>
      <c r="J10" s="8">
        <f>10297.1+912.12+2735+3428.32</f>
        <v>17372.54</v>
      </c>
      <c r="L10" s="11">
        <f t="shared" si="2"/>
        <v>14.783783783783784</v>
      </c>
      <c r="N10" s="8">
        <f t="shared" si="3"/>
        <v>14466.6</v>
      </c>
      <c r="O10" s="8">
        <f t="shared" ref="O10" si="8">N10+J10</f>
        <v>31839.14</v>
      </c>
      <c r="P10" s="19">
        <f>O10/'2022'!N10-1</f>
        <v>0.1987050322876005</v>
      </c>
    </row>
    <row r="11" spans="1:17" x14ac:dyDescent="0.3">
      <c r="B11" t="s">
        <v>14</v>
      </c>
      <c r="C11">
        <v>370</v>
      </c>
      <c r="D11" s="8">
        <f t="shared" si="7"/>
        <v>8954</v>
      </c>
      <c r="E11" s="2"/>
      <c r="F11" s="10">
        <v>5.64</v>
      </c>
      <c r="G11" s="19">
        <f>F11/'2022'!F11-1</f>
        <v>4.6386071933476325E-2</v>
      </c>
      <c r="H11" s="8">
        <f t="shared" si="5"/>
        <v>6711.5999999999995</v>
      </c>
      <c r="J11" s="8">
        <f>10297.1+940.47+2820+3534.87</f>
        <v>17592.439999999999</v>
      </c>
      <c r="L11" s="11">
        <f t="shared" si="2"/>
        <v>15.243243243243244</v>
      </c>
      <c r="N11" s="8">
        <f t="shared" si="3"/>
        <v>14466.6</v>
      </c>
      <c r="O11" s="8">
        <f t="shared" ref="O11" si="9">N11+J11</f>
        <v>32059.040000000001</v>
      </c>
      <c r="P11" s="19">
        <f>O11/'2022'!N11-1</f>
        <v>0.19208322968294311</v>
      </c>
    </row>
    <row r="12" spans="1:17" x14ac:dyDescent="0.3">
      <c r="B12" t="s">
        <v>15</v>
      </c>
      <c r="C12">
        <v>370</v>
      </c>
      <c r="D12" s="8">
        <f t="shared" ref="D12:D14" si="10">C12*$D$2</f>
        <v>8954</v>
      </c>
      <c r="E12" s="2"/>
      <c r="F12" s="10">
        <v>7.89</v>
      </c>
      <c r="G12" s="19">
        <f>F12/'2022'!F12-1</f>
        <v>-1.620579628103358E-2</v>
      </c>
      <c r="H12" s="8">
        <f t="shared" ref="H12:H14" si="11">F12*$H$2</f>
        <v>9389.1</v>
      </c>
      <c r="J12" s="8">
        <f>10297.1+1315.66+3945+4945.06</f>
        <v>20502.82</v>
      </c>
      <c r="L12" s="11">
        <f t="shared" si="2"/>
        <v>21.324324324324323</v>
      </c>
      <c r="N12" s="8">
        <f t="shared" si="3"/>
        <v>14466.6</v>
      </c>
      <c r="O12" s="8">
        <f t="shared" ref="O12" si="12">N12+J12</f>
        <v>34969.42</v>
      </c>
      <c r="P12" s="19">
        <f>O12/'2022'!N12-1</f>
        <v>0.16161498053091683</v>
      </c>
    </row>
    <row r="13" spans="1:17" x14ac:dyDescent="0.3">
      <c r="B13" t="s">
        <v>16</v>
      </c>
      <c r="C13">
        <v>370</v>
      </c>
      <c r="D13" s="8">
        <f t="shared" si="10"/>
        <v>8954</v>
      </c>
      <c r="E13" s="2"/>
      <c r="F13" s="10">
        <v>5.59</v>
      </c>
      <c r="G13" s="19">
        <f>F13/'2022'!F13-1</f>
        <v>9.6078431372549122E-2</v>
      </c>
      <c r="H13" s="8">
        <f t="shared" si="11"/>
        <v>6652.0999999999995</v>
      </c>
      <c r="J13" s="8">
        <f>10297.1+932.13+2795+3503.53</f>
        <v>17527.759999999998</v>
      </c>
      <c r="L13" s="11">
        <f t="shared" si="2"/>
        <v>15.108108108108109</v>
      </c>
      <c r="N13" s="8">
        <f t="shared" si="3"/>
        <v>14466.6</v>
      </c>
      <c r="O13" s="8">
        <f t="shared" ref="O13" si="13">N13+J13</f>
        <v>31994.36</v>
      </c>
      <c r="P13" s="19">
        <f>O13/'2022'!N13-1</f>
        <v>0.20672005081186962</v>
      </c>
      <c r="Q13" t="s">
        <v>28</v>
      </c>
    </row>
    <row r="14" spans="1:17" x14ac:dyDescent="0.3">
      <c r="B14" t="s">
        <v>17</v>
      </c>
      <c r="C14">
        <v>370</v>
      </c>
      <c r="D14" s="8">
        <f t="shared" si="10"/>
        <v>8954</v>
      </c>
      <c r="E14" s="2"/>
      <c r="F14" s="10">
        <v>6.22</v>
      </c>
      <c r="G14" s="19">
        <f>F14/'2022'!F14-1</f>
        <v>0.22200392927308443</v>
      </c>
      <c r="H14" s="8">
        <f t="shared" si="11"/>
        <v>7401.7999999999993</v>
      </c>
      <c r="J14" s="8">
        <f>10297.1+1037.19+3110+3898.39</f>
        <v>18342.68</v>
      </c>
      <c r="L14" s="11">
        <f t="shared" si="2"/>
        <v>16.810810810810811</v>
      </c>
      <c r="N14" s="8">
        <f t="shared" si="3"/>
        <v>14466.6</v>
      </c>
      <c r="O14" s="8">
        <f t="shared" ref="O14" si="14">N14+J14</f>
        <v>32809.279999999999</v>
      </c>
      <c r="P14" s="19">
        <f>O14/'2022'!N14-1</f>
        <v>0.23803044316123145</v>
      </c>
    </row>
    <row r="15" spans="1:17" ht="15" thickBot="1" x14ac:dyDescent="0.35">
      <c r="A15" s="1"/>
      <c r="B15" s="1" t="s">
        <v>18</v>
      </c>
      <c r="C15" s="1">
        <v>370</v>
      </c>
      <c r="D15" s="13">
        <f>SUM(D3:D14)</f>
        <v>107254.39999999999</v>
      </c>
      <c r="E15" s="3"/>
      <c r="F15" s="9">
        <f>SUM(F3:F14)</f>
        <v>70.519840000000002</v>
      </c>
      <c r="G15" s="9"/>
      <c r="H15" s="3"/>
      <c r="I15" s="1"/>
      <c r="J15" s="13">
        <f>SUM(J3:J14)</f>
        <v>214560.2</v>
      </c>
      <c r="L15" s="12">
        <f>SUM(L3:L14)</f>
        <v>190.9825833702555</v>
      </c>
      <c r="N15" s="21">
        <f t="shared" ref="N15" si="15">SUM(N3:N14)</f>
        <v>173599.20000000004</v>
      </c>
      <c r="O15" s="21">
        <f>SUM(O3:O14)</f>
        <v>388159.39999999991</v>
      </c>
      <c r="P15" s="22">
        <f>O15/'2022'!N15-1</f>
        <v>0.22984730206742077</v>
      </c>
    </row>
    <row r="16" spans="1:17" ht="15" thickTop="1" x14ac:dyDescent="0.3">
      <c r="B16" t="s">
        <v>33</v>
      </c>
      <c r="C16">
        <v>340</v>
      </c>
      <c r="K16" s="4" t="s">
        <v>23</v>
      </c>
      <c r="L16" s="17">
        <v>180</v>
      </c>
    </row>
    <row r="17" spans="4:21" x14ac:dyDescent="0.3">
      <c r="K17" s="4" t="s">
        <v>19</v>
      </c>
      <c r="L17" s="2">
        <f>L15-L16</f>
        <v>10.982583370255497</v>
      </c>
    </row>
    <row r="18" spans="4:21" x14ac:dyDescent="0.3">
      <c r="E18" s="4" t="s">
        <v>36</v>
      </c>
      <c r="F18">
        <f>F15/27</f>
        <v>2.6118459259259259</v>
      </c>
      <c r="G18" s="19"/>
      <c r="U18" t="s">
        <v>31</v>
      </c>
    </row>
    <row r="19" spans="4:21" x14ac:dyDescent="0.3">
      <c r="E19" s="4"/>
      <c r="J19" t="s">
        <v>24</v>
      </c>
      <c r="L19">
        <f>((L15)/27)*27</f>
        <v>190.9825833702555</v>
      </c>
      <c r="O19" s="15">
        <f>((O3+O4+O5+O6+O7+O8+O9+O10+O11+O12+O13+O14)/12)*12</f>
        <v>388159.39999999991</v>
      </c>
    </row>
    <row r="20" spans="4:21" x14ac:dyDescent="0.3">
      <c r="J20" s="4" t="s">
        <v>32</v>
      </c>
      <c r="L20" s="14">
        <f>L19/'2022'!K15-1</f>
        <v>8.5996758751412106E-3</v>
      </c>
    </row>
    <row r="21" spans="4:21" x14ac:dyDescent="0.3">
      <c r="D21" s="4"/>
    </row>
  </sheetData>
  <conditionalFormatting sqref="G3:G14">
    <cfRule type="cellIs" dxfId="6" priority="4" operator="greaterThan">
      <formula>0</formula>
    </cfRule>
  </conditionalFormatting>
  <conditionalFormatting sqref="G18">
    <cfRule type="cellIs" dxfId="5" priority="1" operator="greaterThan">
      <formula>0</formula>
    </cfRule>
  </conditionalFormatting>
  <conditionalFormatting sqref="I17 L17">
    <cfRule type="cellIs" dxfId="4" priority="5" operator="greaterThan">
      <formula>0</formula>
    </cfRule>
  </conditionalFormatting>
  <conditionalFormatting sqref="L20">
    <cfRule type="cellIs" dxfId="3" priority="2" operator="greaterThan">
      <formula>0</formula>
    </cfRule>
  </conditionalFormatting>
  <conditionalFormatting sqref="P3:P15">
    <cfRule type="cellIs" dxfId="2" priority="3" operator="greaterThan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workbookViewId="0">
      <selection activeCell="K16" sqref="K16"/>
    </sheetView>
  </sheetViews>
  <sheetFormatPr defaultRowHeight="14.4" x14ac:dyDescent="0.3"/>
  <cols>
    <col min="4" max="4" width="10" bestFit="1" customWidth="1"/>
    <col min="5" max="5" width="2" customWidth="1"/>
    <col min="8" max="8" width="2.5546875" customWidth="1"/>
    <col min="9" max="9" width="10" bestFit="1" customWidth="1"/>
    <col min="10" max="10" width="2.6640625" customWidth="1"/>
    <col min="12" max="12" width="3.109375" customWidth="1"/>
    <col min="13" max="13" width="10" bestFit="1" customWidth="1"/>
    <col min="14" max="14" width="14.5546875" bestFit="1" customWidth="1"/>
  </cols>
  <sheetData>
    <row r="1" spans="1:16" ht="21" x14ac:dyDescent="0.4">
      <c r="A1" s="5" t="s">
        <v>2</v>
      </c>
      <c r="D1" t="s">
        <v>4</v>
      </c>
      <c r="G1" t="s">
        <v>4</v>
      </c>
      <c r="I1" t="s">
        <v>6</v>
      </c>
      <c r="M1" t="s">
        <v>6</v>
      </c>
      <c r="N1" t="s">
        <v>6</v>
      </c>
    </row>
    <row r="2" spans="1:16" ht="16.2" thickBot="1" x14ac:dyDescent="0.35">
      <c r="A2" s="6">
        <v>2022</v>
      </c>
      <c r="B2" s="7"/>
      <c r="C2" s="7" t="s">
        <v>3</v>
      </c>
      <c r="D2" s="7">
        <v>18.333300000000001</v>
      </c>
      <c r="E2" s="7">
        <v>20.166699999999999</v>
      </c>
      <c r="F2" s="7" t="s">
        <v>1</v>
      </c>
      <c r="G2" s="7">
        <v>1090</v>
      </c>
      <c r="H2" s="7"/>
      <c r="I2" s="7" t="s">
        <v>5</v>
      </c>
      <c r="J2" s="7"/>
      <c r="K2" s="7" t="s">
        <v>22</v>
      </c>
      <c r="M2" s="7" t="s">
        <v>20</v>
      </c>
      <c r="N2" s="7" t="s">
        <v>21</v>
      </c>
    </row>
    <row r="3" spans="1:16" x14ac:dyDescent="0.3">
      <c r="B3" t="s">
        <v>0</v>
      </c>
      <c r="C3">
        <v>354</v>
      </c>
      <c r="D3" s="8">
        <f t="shared" ref="D3:D8" si="0">C3*$D$2</f>
        <v>6489.9882000000007</v>
      </c>
      <c r="E3" s="2"/>
      <c r="F3" s="10">
        <v>5.4799800000000003</v>
      </c>
      <c r="G3" s="8">
        <f t="shared" ref="G3:G14" si="1">F3*$G$2</f>
        <v>5973.1782000000003</v>
      </c>
      <c r="I3" s="8">
        <f>7463.49+913.79+2804.39+2740</f>
        <v>13921.669999999998</v>
      </c>
      <c r="K3" s="11">
        <f t="shared" ref="K3:K11" si="2">F3*1000/C3</f>
        <v>15.480169491525425</v>
      </c>
      <c r="M3" s="8">
        <f t="shared" ref="M3:M8" si="3">5288.38+387.37+5764.54</f>
        <v>11440.29</v>
      </c>
      <c r="N3" s="8">
        <f t="shared" ref="N3:N8" si="4">M3+I3</f>
        <v>25361.96</v>
      </c>
    </row>
    <row r="4" spans="1:16" x14ac:dyDescent="0.3">
      <c r="B4" t="s">
        <v>7</v>
      </c>
      <c r="C4">
        <v>354</v>
      </c>
      <c r="D4" s="8">
        <f t="shared" si="0"/>
        <v>6489.9882000000007</v>
      </c>
      <c r="E4" s="2"/>
      <c r="F4" s="10">
        <v>4.9599799999999998</v>
      </c>
      <c r="G4" s="8">
        <f t="shared" si="1"/>
        <v>5406.3782000000001</v>
      </c>
      <c r="I4" s="8">
        <f>7463.49+827.08+2538.28+2480</f>
        <v>13308.85</v>
      </c>
      <c r="K4" s="11">
        <f t="shared" si="2"/>
        <v>14.011242937853106</v>
      </c>
      <c r="M4" s="8">
        <f t="shared" si="3"/>
        <v>11440.29</v>
      </c>
      <c r="N4" s="8">
        <f t="shared" si="4"/>
        <v>24749.14</v>
      </c>
    </row>
    <row r="5" spans="1:16" x14ac:dyDescent="0.3">
      <c r="B5" t="s">
        <v>8</v>
      </c>
      <c r="C5">
        <v>354</v>
      </c>
      <c r="D5" s="8">
        <f t="shared" si="0"/>
        <v>6489.9882000000007</v>
      </c>
      <c r="E5" s="2"/>
      <c r="F5" s="10">
        <v>5.2399800000000001</v>
      </c>
      <c r="G5" s="8">
        <f t="shared" si="1"/>
        <v>5711.5781999999999</v>
      </c>
      <c r="I5" s="8">
        <f>7463.49+873.77+2681.57+2620</f>
        <v>13638.83</v>
      </c>
      <c r="K5" s="11">
        <f t="shared" si="2"/>
        <v>14.80220338983051</v>
      </c>
      <c r="M5" s="8">
        <f t="shared" si="3"/>
        <v>11440.29</v>
      </c>
      <c r="N5" s="8">
        <f t="shared" si="4"/>
        <v>25079.120000000003</v>
      </c>
    </row>
    <row r="6" spans="1:16" x14ac:dyDescent="0.3">
      <c r="B6" t="s">
        <v>9</v>
      </c>
      <c r="C6">
        <v>354</v>
      </c>
      <c r="D6" s="8">
        <f t="shared" si="0"/>
        <v>6489.9882000000007</v>
      </c>
      <c r="E6" s="2"/>
      <c r="F6" s="10">
        <v>4.9999799999999999</v>
      </c>
      <c r="G6" s="8">
        <f t="shared" si="1"/>
        <v>5449.9781999999996</v>
      </c>
      <c r="I6" s="8">
        <f>7463.49+833.75+2558.75+2500</f>
        <v>13355.99</v>
      </c>
      <c r="K6" s="11">
        <f t="shared" si="2"/>
        <v>14.124237288135593</v>
      </c>
      <c r="M6" s="8">
        <f t="shared" si="3"/>
        <v>11440.29</v>
      </c>
      <c r="N6" s="8">
        <f t="shared" si="4"/>
        <v>24796.28</v>
      </c>
    </row>
    <row r="7" spans="1:16" x14ac:dyDescent="0.3">
      <c r="B7" t="s">
        <v>10</v>
      </c>
      <c r="C7">
        <v>354</v>
      </c>
      <c r="D7" s="8">
        <f t="shared" si="0"/>
        <v>6489.9882000000007</v>
      </c>
      <c r="E7" s="2"/>
      <c r="F7" s="10">
        <v>7.4099700000000004</v>
      </c>
      <c r="G7" s="8">
        <f t="shared" si="1"/>
        <v>8076.8673000000008</v>
      </c>
      <c r="I7" s="8">
        <f>7463.5+1235.62+3792.07+3705</f>
        <v>16196.189999999999</v>
      </c>
      <c r="K7" s="11">
        <f t="shared" si="2"/>
        <v>20.932118644067799</v>
      </c>
      <c r="M7" s="8">
        <f t="shared" si="3"/>
        <v>11440.29</v>
      </c>
      <c r="N7" s="8">
        <f t="shared" si="4"/>
        <v>27636.48</v>
      </c>
    </row>
    <row r="8" spans="1:16" x14ac:dyDescent="0.3">
      <c r="B8" t="s">
        <v>11</v>
      </c>
      <c r="C8">
        <v>354</v>
      </c>
      <c r="D8" s="8">
        <f t="shared" si="0"/>
        <v>6489.9882000000007</v>
      </c>
      <c r="E8" s="2"/>
      <c r="F8" s="10">
        <v>4.9899800000000001</v>
      </c>
      <c r="G8" s="8">
        <f t="shared" si="1"/>
        <v>5439.0781999999999</v>
      </c>
      <c r="I8" s="8">
        <f>7463.5+832.08+2553.63+2495</f>
        <v>13344.21</v>
      </c>
      <c r="K8" s="11">
        <f t="shared" si="2"/>
        <v>14.095988700564973</v>
      </c>
      <c r="M8" s="8">
        <f t="shared" si="3"/>
        <v>11440.29</v>
      </c>
      <c r="N8" s="8">
        <f t="shared" si="4"/>
        <v>24784.5</v>
      </c>
    </row>
    <row r="9" spans="1:16" x14ac:dyDescent="0.3">
      <c r="B9" t="s">
        <v>12</v>
      </c>
      <c r="C9">
        <v>354</v>
      </c>
      <c r="D9" s="8">
        <f t="shared" ref="D9:D14" si="5">C9*$E$2</f>
        <v>7139.0117999999993</v>
      </c>
      <c r="E9" s="2"/>
      <c r="F9" s="10">
        <v>5.18</v>
      </c>
      <c r="G9" s="8">
        <f t="shared" si="1"/>
        <v>5646.2</v>
      </c>
      <c r="I9" s="8">
        <f>8209.85+863.77+2915.95+2590</f>
        <v>14579.57</v>
      </c>
      <c r="K9" s="11">
        <f t="shared" si="2"/>
        <v>14.63276836158192</v>
      </c>
      <c r="M9" s="8">
        <f t="shared" ref="M9:M14" si="6">5288.39+426.05+6341.05</f>
        <v>12055.490000000002</v>
      </c>
      <c r="N9" s="8">
        <f t="shared" ref="N9" si="7">M9+I9</f>
        <v>26635.06</v>
      </c>
    </row>
    <row r="10" spans="1:16" x14ac:dyDescent="0.3">
      <c r="B10" t="s">
        <v>13</v>
      </c>
      <c r="C10">
        <v>354</v>
      </c>
      <c r="D10" s="8">
        <f t="shared" si="5"/>
        <v>7139.0117999999993</v>
      </c>
      <c r="E10" s="2"/>
      <c r="F10" s="10">
        <v>5.11998</v>
      </c>
      <c r="G10" s="8">
        <f t="shared" si="1"/>
        <v>5580.7781999999997</v>
      </c>
      <c r="I10" s="8">
        <f>8209.85+853.76+2882.18+2560</f>
        <v>14505.79</v>
      </c>
      <c r="K10" s="11">
        <f t="shared" si="2"/>
        <v>14.463220338983049</v>
      </c>
      <c r="M10" s="8">
        <f t="shared" si="6"/>
        <v>12055.490000000002</v>
      </c>
      <c r="N10" s="8">
        <f t="shared" ref="N10:N11" si="8">M10+I10</f>
        <v>26561.280000000002</v>
      </c>
    </row>
    <row r="11" spans="1:16" x14ac:dyDescent="0.3">
      <c r="B11" t="s">
        <v>14</v>
      </c>
      <c r="C11">
        <v>354</v>
      </c>
      <c r="D11" s="8">
        <f t="shared" si="5"/>
        <v>7139.0117999999993</v>
      </c>
      <c r="E11" s="2"/>
      <c r="F11" s="10">
        <v>5.3899800000000004</v>
      </c>
      <c r="G11" s="8">
        <f>F11*$G$2</f>
        <v>5875.0782000000008</v>
      </c>
      <c r="I11" s="8">
        <f>8209.85+898.78+3034.17+2695</f>
        <v>14837.800000000001</v>
      </c>
      <c r="K11" s="11">
        <f t="shared" si="2"/>
        <v>15.225932203389831</v>
      </c>
      <c r="M11" s="8">
        <f t="shared" si="6"/>
        <v>12055.490000000002</v>
      </c>
      <c r="N11" s="8">
        <f t="shared" si="8"/>
        <v>26893.29</v>
      </c>
    </row>
    <row r="12" spans="1:16" x14ac:dyDescent="0.3">
      <c r="B12" t="s">
        <v>15</v>
      </c>
      <c r="C12">
        <v>353</v>
      </c>
      <c r="D12" s="8">
        <f t="shared" si="5"/>
        <v>7118.8450999999995</v>
      </c>
      <c r="E12" s="2"/>
      <c r="F12" s="10">
        <v>8.0199700000000007</v>
      </c>
      <c r="G12" s="8">
        <f t="shared" si="1"/>
        <v>8741.7673000000013</v>
      </c>
      <c r="I12" s="8">
        <f>8186.65+1337.34+4514.66+4010</f>
        <v>18048.650000000001</v>
      </c>
      <c r="K12" s="11">
        <f>F12*1000/C12</f>
        <v>22.719461756373942</v>
      </c>
      <c r="M12" s="8">
        <f t="shared" si="6"/>
        <v>12055.490000000002</v>
      </c>
      <c r="N12" s="8">
        <f t="shared" ref="N12" si="9">M12+I12</f>
        <v>30104.140000000003</v>
      </c>
    </row>
    <row r="13" spans="1:16" x14ac:dyDescent="0.3">
      <c r="B13" t="s">
        <v>16</v>
      </c>
      <c r="C13">
        <v>353</v>
      </c>
      <c r="D13" s="8">
        <f t="shared" si="5"/>
        <v>7118.8450999999995</v>
      </c>
      <c r="E13" s="2"/>
      <c r="F13" s="10">
        <v>5.0999999999999996</v>
      </c>
      <c r="G13" s="8">
        <f t="shared" si="1"/>
        <v>5559</v>
      </c>
      <c r="I13" s="8">
        <f>8186.65+850.43+2870.92+2550</f>
        <v>14458</v>
      </c>
      <c r="K13" s="11">
        <f>F13*1000/C13</f>
        <v>14.447592067988669</v>
      </c>
      <c r="M13" s="8">
        <f t="shared" si="6"/>
        <v>12055.490000000002</v>
      </c>
      <c r="N13" s="8">
        <f t="shared" ref="N13" si="10">M13+I13</f>
        <v>26513.49</v>
      </c>
      <c r="P13" t="s">
        <v>28</v>
      </c>
    </row>
    <row r="14" spans="1:16" x14ac:dyDescent="0.3">
      <c r="B14" t="s">
        <v>17</v>
      </c>
      <c r="C14">
        <v>353</v>
      </c>
      <c r="D14" s="8">
        <f t="shared" si="5"/>
        <v>7118.8450999999995</v>
      </c>
      <c r="E14" s="2"/>
      <c r="F14" s="10">
        <v>5.09</v>
      </c>
      <c r="G14" s="8">
        <f t="shared" si="1"/>
        <v>5548.0999999999995</v>
      </c>
      <c r="I14" s="8">
        <f>8186.65+848.76+2865.29+2545</f>
        <v>14445.7</v>
      </c>
      <c r="K14" s="11">
        <f>F14*1000/C14</f>
        <v>14.419263456090652</v>
      </c>
      <c r="M14" s="8">
        <f t="shared" si="6"/>
        <v>12055.490000000002</v>
      </c>
      <c r="N14" s="8">
        <f t="shared" ref="N14" si="11">M14+I14</f>
        <v>26501.190000000002</v>
      </c>
    </row>
    <row r="15" spans="1:16" ht="15" thickBot="1" x14ac:dyDescent="0.35">
      <c r="A15" s="1"/>
      <c r="B15" s="1" t="s">
        <v>18</v>
      </c>
      <c r="C15" s="1">
        <v>322</v>
      </c>
      <c r="D15" s="13">
        <f>SUM(D3:D14)</f>
        <v>81713.499900000024</v>
      </c>
      <c r="E15" s="3"/>
      <c r="F15" s="9">
        <f>SUM(F3:F14)</f>
        <v>66.979799999999997</v>
      </c>
      <c r="G15" s="3"/>
      <c r="H15" s="1"/>
      <c r="I15" s="13">
        <f>SUM(I3:I14)</f>
        <v>174641.25000000003</v>
      </c>
      <c r="K15" s="12">
        <f>SUM(K3:K14)</f>
        <v>189.35419863638546</v>
      </c>
      <c r="M15" s="13">
        <f t="shared" ref="M15" si="12">SUM(M3:M14)</f>
        <v>140974.68000000002</v>
      </c>
      <c r="N15" s="13">
        <f>SUM(N3:N14)</f>
        <v>315615.93</v>
      </c>
    </row>
    <row r="16" spans="1:16" ht="15" thickTop="1" x14ac:dyDescent="0.3">
      <c r="J16" s="4" t="s">
        <v>23</v>
      </c>
      <c r="K16" s="17">
        <v>190</v>
      </c>
    </row>
    <row r="17" spans="3:14" x14ac:dyDescent="0.3">
      <c r="J17" s="4" t="s">
        <v>19</v>
      </c>
      <c r="K17" s="2">
        <f>K15-K16</f>
        <v>-0.6458013636145381</v>
      </c>
      <c r="N17" s="15">
        <f>((N3+N4+N5+N6+N7+N8+N9+N10+N11+N12)/10)*12</f>
        <v>315121.5</v>
      </c>
    </row>
    <row r="19" spans="3:14" x14ac:dyDescent="0.3">
      <c r="I19" t="s">
        <v>24</v>
      </c>
      <c r="K19">
        <f>(K15/12)*12</f>
        <v>189.35419863638546</v>
      </c>
    </row>
    <row r="20" spans="3:14" x14ac:dyDescent="0.3">
      <c r="C20" t="s">
        <v>25</v>
      </c>
      <c r="D20">
        <v>222</v>
      </c>
      <c r="I20" s="4" t="s">
        <v>26</v>
      </c>
      <c r="K20" s="14">
        <f>1-K19/D20</f>
        <v>0.14705315929556095</v>
      </c>
    </row>
    <row r="21" spans="3:14" x14ac:dyDescent="0.3">
      <c r="D21" s="4" t="s">
        <v>27</v>
      </c>
      <c r="F21">
        <f>F15/20</f>
        <v>3.3489899999999997</v>
      </c>
    </row>
    <row r="23" spans="3:14" x14ac:dyDescent="0.3">
      <c r="F23">
        <f>27*F21</f>
        <v>90.422729999999987</v>
      </c>
      <c r="K23">
        <f>F23*1000/C7</f>
        <v>255.43144067796604</v>
      </c>
    </row>
  </sheetData>
  <conditionalFormatting sqref="H17 K17">
    <cfRule type="cellIs" dxfId="1" priority="1" operator="greaterThan">
      <formula>0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>
      <selection activeCell="N15" sqref="N15"/>
    </sheetView>
  </sheetViews>
  <sheetFormatPr defaultRowHeight="14.4" x14ac:dyDescent="0.3"/>
  <cols>
    <col min="4" max="4" width="10" bestFit="1" customWidth="1"/>
    <col min="5" max="5" width="2" customWidth="1"/>
    <col min="8" max="8" width="2.5546875" customWidth="1"/>
    <col min="9" max="9" width="10" bestFit="1" customWidth="1"/>
    <col min="10" max="10" width="2.6640625" customWidth="1"/>
    <col min="12" max="12" width="3.109375" customWidth="1"/>
    <col min="13" max="13" width="10" bestFit="1" customWidth="1"/>
    <col min="14" max="14" width="14.5546875" bestFit="1" customWidth="1"/>
  </cols>
  <sheetData>
    <row r="1" spans="1:16" ht="21" x14ac:dyDescent="0.4">
      <c r="A1" s="5" t="s">
        <v>2</v>
      </c>
      <c r="D1" t="s">
        <v>4</v>
      </c>
      <c r="G1" t="s">
        <v>4</v>
      </c>
      <c r="I1" t="s">
        <v>6</v>
      </c>
      <c r="M1" t="s">
        <v>6</v>
      </c>
      <c r="N1" t="s">
        <v>6</v>
      </c>
    </row>
    <row r="2" spans="1:16" ht="16.2" thickBot="1" x14ac:dyDescent="0.35">
      <c r="A2" s="6">
        <v>2022</v>
      </c>
      <c r="B2" s="7"/>
      <c r="C2" s="7" t="s">
        <v>3</v>
      </c>
      <c r="D2" s="7">
        <v>18.333300000000001</v>
      </c>
      <c r="E2" s="7">
        <v>20.166699999999999</v>
      </c>
      <c r="F2" s="7" t="s">
        <v>1</v>
      </c>
      <c r="G2" s="7">
        <v>1090</v>
      </c>
      <c r="H2" s="7"/>
      <c r="I2" s="7" t="s">
        <v>5</v>
      </c>
      <c r="J2" s="7"/>
      <c r="K2" s="7" t="s">
        <v>22</v>
      </c>
      <c r="M2" s="7" t="s">
        <v>20</v>
      </c>
      <c r="N2" s="7" t="s">
        <v>21</v>
      </c>
    </row>
    <row r="3" spans="1:16" x14ac:dyDescent="0.3">
      <c r="B3" t="s">
        <v>0</v>
      </c>
      <c r="C3">
        <v>354</v>
      </c>
      <c r="D3" s="8">
        <f t="shared" ref="D3:D8" si="0">C3*$D$2</f>
        <v>6489.9882000000007</v>
      </c>
      <c r="E3" s="2"/>
      <c r="F3" s="10">
        <v>5.4799800000000003</v>
      </c>
      <c r="G3" s="8">
        <f t="shared" ref="G3:G10" si="1">F3*$G$2</f>
        <v>5973.1782000000003</v>
      </c>
      <c r="I3" s="8">
        <f>7463.49+913.79+2804.39+2740</f>
        <v>13921.669999999998</v>
      </c>
      <c r="K3" s="11">
        <f t="shared" ref="K3:K11" si="2">F3*1000/C3</f>
        <v>15.480169491525425</v>
      </c>
      <c r="M3" s="8">
        <f t="shared" ref="M3:M8" si="3">5288.38+387.37+5764.54</f>
        <v>11440.29</v>
      </c>
      <c r="N3" s="8">
        <f t="shared" ref="N3:N12" si="4">M3+I3</f>
        <v>25361.96</v>
      </c>
    </row>
    <row r="4" spans="1:16" x14ac:dyDescent="0.3">
      <c r="B4" t="s">
        <v>7</v>
      </c>
      <c r="C4">
        <v>354</v>
      </c>
      <c r="D4" s="8">
        <f t="shared" si="0"/>
        <v>6489.9882000000007</v>
      </c>
      <c r="E4" s="2"/>
      <c r="F4" s="10">
        <v>4.9599799999999998</v>
      </c>
      <c r="G4" s="8">
        <f t="shared" si="1"/>
        <v>5406.3782000000001</v>
      </c>
      <c r="I4" s="8">
        <f>7463.49+827.08+2538.28+2480</f>
        <v>13308.85</v>
      </c>
      <c r="K4" s="11">
        <f t="shared" si="2"/>
        <v>14.011242937853106</v>
      </c>
      <c r="M4" s="8">
        <f t="shared" si="3"/>
        <v>11440.29</v>
      </c>
      <c r="N4" s="8">
        <f>M4+I4</f>
        <v>24749.14</v>
      </c>
    </row>
    <row r="5" spans="1:16" x14ac:dyDescent="0.3">
      <c r="B5" t="s">
        <v>8</v>
      </c>
      <c r="C5">
        <v>354</v>
      </c>
      <c r="D5" s="8">
        <f t="shared" si="0"/>
        <v>6489.9882000000007</v>
      </c>
      <c r="E5" s="2"/>
      <c r="F5" s="10">
        <v>5.2399800000000001</v>
      </c>
      <c r="G5" s="8">
        <f t="shared" si="1"/>
        <v>5711.5781999999999</v>
      </c>
      <c r="I5" s="8">
        <f>7463.49+873.77+2681.57+2620</f>
        <v>13638.83</v>
      </c>
      <c r="K5" s="11">
        <f t="shared" si="2"/>
        <v>14.80220338983051</v>
      </c>
      <c r="M5" s="8">
        <f t="shared" si="3"/>
        <v>11440.29</v>
      </c>
      <c r="N5" s="8">
        <f t="shared" si="4"/>
        <v>25079.120000000003</v>
      </c>
    </row>
    <row r="6" spans="1:16" x14ac:dyDescent="0.3">
      <c r="B6" t="s">
        <v>9</v>
      </c>
      <c r="C6">
        <v>354</v>
      </c>
      <c r="D6" s="8">
        <f t="shared" si="0"/>
        <v>6489.9882000000007</v>
      </c>
      <c r="E6" s="2"/>
      <c r="F6" s="10">
        <v>4.9999799999999999</v>
      </c>
      <c r="G6" s="8">
        <f t="shared" si="1"/>
        <v>5449.9781999999996</v>
      </c>
      <c r="I6" s="8">
        <f>7463.49+833.75+2558.75+2500</f>
        <v>13355.99</v>
      </c>
      <c r="K6" s="11">
        <f t="shared" si="2"/>
        <v>14.124237288135593</v>
      </c>
      <c r="M6" s="8">
        <f t="shared" si="3"/>
        <v>11440.29</v>
      </c>
      <c r="N6" s="8">
        <f t="shared" si="4"/>
        <v>24796.28</v>
      </c>
    </row>
    <row r="7" spans="1:16" x14ac:dyDescent="0.3">
      <c r="B7" t="s">
        <v>10</v>
      </c>
      <c r="C7">
        <v>354</v>
      </c>
      <c r="D7" s="8">
        <f t="shared" si="0"/>
        <v>6489.9882000000007</v>
      </c>
      <c r="E7" s="2"/>
      <c r="F7" s="10">
        <v>7.4099700000000004</v>
      </c>
      <c r="G7" s="8">
        <f t="shared" si="1"/>
        <v>8076.8673000000008</v>
      </c>
      <c r="I7" s="8">
        <f>7463.5+1235.62+3792.07+3705</f>
        <v>16196.189999999999</v>
      </c>
      <c r="K7" s="11">
        <f t="shared" si="2"/>
        <v>20.932118644067799</v>
      </c>
      <c r="M7" s="8">
        <f t="shared" si="3"/>
        <v>11440.29</v>
      </c>
      <c r="N7" s="8">
        <f t="shared" si="4"/>
        <v>27636.48</v>
      </c>
    </row>
    <row r="8" spans="1:16" x14ac:dyDescent="0.3">
      <c r="B8" t="s">
        <v>11</v>
      </c>
      <c r="C8">
        <v>354</v>
      </c>
      <c r="D8" s="8">
        <f t="shared" si="0"/>
        <v>6489.9882000000007</v>
      </c>
      <c r="E8" s="2"/>
      <c r="F8" s="10">
        <v>4.9899800000000001</v>
      </c>
      <c r="G8" s="8">
        <f t="shared" si="1"/>
        <v>5439.0781999999999</v>
      </c>
      <c r="I8" s="8">
        <f>7463.5+832.08+2553.63+2495</f>
        <v>13344.21</v>
      </c>
      <c r="K8" s="11">
        <f t="shared" si="2"/>
        <v>14.095988700564973</v>
      </c>
      <c r="M8" s="8">
        <f t="shared" si="3"/>
        <v>11440.29</v>
      </c>
      <c r="N8" s="8">
        <f t="shared" si="4"/>
        <v>24784.5</v>
      </c>
    </row>
    <row r="9" spans="1:16" x14ac:dyDescent="0.3">
      <c r="B9" t="s">
        <v>12</v>
      </c>
      <c r="C9">
        <v>354</v>
      </c>
      <c r="D9" s="8">
        <f t="shared" ref="D9:D14" si="5">C9*$E$2</f>
        <v>7139.0117999999993</v>
      </c>
      <c r="E9" s="2"/>
      <c r="F9" s="10">
        <v>5.18</v>
      </c>
      <c r="G9" s="8">
        <f t="shared" si="1"/>
        <v>5646.2</v>
      </c>
      <c r="I9" s="8">
        <f>8209.85+863.77+2915.95+2590</f>
        <v>14579.57</v>
      </c>
      <c r="K9" s="11">
        <f t="shared" si="2"/>
        <v>14.63276836158192</v>
      </c>
      <c r="M9" s="8">
        <f t="shared" ref="M9:M14" si="6">5288.39+426.05+6341.05</f>
        <v>12055.490000000002</v>
      </c>
      <c r="N9" s="8">
        <f t="shared" si="4"/>
        <v>26635.06</v>
      </c>
    </row>
    <row r="10" spans="1:16" x14ac:dyDescent="0.3">
      <c r="B10" t="s">
        <v>13</v>
      </c>
      <c r="C10">
        <v>354</v>
      </c>
      <c r="D10" s="8">
        <f t="shared" si="5"/>
        <v>7139.0117999999993</v>
      </c>
      <c r="E10" s="2"/>
      <c r="F10" s="10">
        <v>5.11998</v>
      </c>
      <c r="G10" s="8">
        <f t="shared" si="1"/>
        <v>5580.7781999999997</v>
      </c>
      <c r="I10" s="8">
        <f>8209.85+853.76+2882.18+2560</f>
        <v>14505.79</v>
      </c>
      <c r="K10" s="11">
        <f t="shared" si="2"/>
        <v>14.463220338983049</v>
      </c>
      <c r="M10" s="8">
        <f t="shared" si="6"/>
        <v>12055.490000000002</v>
      </c>
      <c r="N10" s="8">
        <f t="shared" si="4"/>
        <v>26561.280000000002</v>
      </c>
    </row>
    <row r="11" spans="1:16" x14ac:dyDescent="0.3">
      <c r="B11" t="s">
        <v>14</v>
      </c>
      <c r="C11">
        <v>354</v>
      </c>
      <c r="D11" s="8">
        <f t="shared" si="5"/>
        <v>7139.0117999999993</v>
      </c>
      <c r="E11" s="2"/>
      <c r="F11" s="10">
        <v>5.3899800000000004</v>
      </c>
      <c r="G11" s="8">
        <f>F11*$G$2</f>
        <v>5875.0782000000008</v>
      </c>
      <c r="I11" s="8">
        <f>8209.85+898.78+3034.17+2695</f>
        <v>14837.800000000001</v>
      </c>
      <c r="K11" s="11">
        <f t="shared" si="2"/>
        <v>15.225932203389831</v>
      </c>
      <c r="M11" s="8">
        <f t="shared" si="6"/>
        <v>12055.490000000002</v>
      </c>
      <c r="N11" s="8">
        <f t="shared" si="4"/>
        <v>26893.29</v>
      </c>
    </row>
    <row r="12" spans="1:16" x14ac:dyDescent="0.3">
      <c r="B12" t="s">
        <v>15</v>
      </c>
      <c r="C12">
        <v>353</v>
      </c>
      <c r="D12" s="8">
        <f t="shared" si="5"/>
        <v>7118.8450999999995</v>
      </c>
      <c r="E12" s="2"/>
      <c r="F12" s="10">
        <v>8.0199700000000007</v>
      </c>
      <c r="G12" s="8">
        <f>F12*$G$2</f>
        <v>8741.7673000000013</v>
      </c>
      <c r="I12" s="8">
        <f>8186.65+1337.34+4514.66+4010</f>
        <v>18048.650000000001</v>
      </c>
      <c r="K12" s="11">
        <f>F12*1000/C12</f>
        <v>22.719461756373942</v>
      </c>
      <c r="M12" s="8">
        <f t="shared" si="6"/>
        <v>12055.490000000002</v>
      </c>
      <c r="N12" s="8">
        <f t="shared" si="4"/>
        <v>30104.140000000003</v>
      </c>
    </row>
    <row r="13" spans="1:16" x14ac:dyDescent="0.3">
      <c r="B13" t="s">
        <v>16</v>
      </c>
      <c r="C13">
        <v>353</v>
      </c>
      <c r="D13" s="8">
        <f t="shared" si="5"/>
        <v>7118.8450999999995</v>
      </c>
      <c r="E13" s="2"/>
      <c r="F13" s="10">
        <v>5.0999800000000004</v>
      </c>
      <c r="G13" s="8">
        <f>F13*$G$2</f>
        <v>5558.9782000000005</v>
      </c>
      <c r="I13" s="8">
        <f>8186.65+850.43+2870.92+2550</f>
        <v>14458</v>
      </c>
      <c r="K13" s="11">
        <f>F13*1000/C13</f>
        <v>14.447535410764873</v>
      </c>
      <c r="M13" s="8">
        <f t="shared" si="6"/>
        <v>12055.490000000002</v>
      </c>
      <c r="N13" s="8">
        <f t="shared" ref="N13" si="7">M13+I13</f>
        <v>26513.49</v>
      </c>
      <c r="P13" t="s">
        <v>28</v>
      </c>
    </row>
    <row r="14" spans="1:16" x14ac:dyDescent="0.3">
      <c r="B14" t="s">
        <v>17</v>
      </c>
      <c r="C14">
        <v>353</v>
      </c>
      <c r="D14" s="8">
        <f t="shared" si="5"/>
        <v>7118.8450999999995</v>
      </c>
      <c r="E14" s="2"/>
      <c r="F14" s="10">
        <v>5.0899799999999997</v>
      </c>
      <c r="G14" s="8">
        <f>F14*$G$2</f>
        <v>5548.0781999999999</v>
      </c>
      <c r="I14" s="8">
        <f>8186.65+848.76+2865.29+2545</f>
        <v>14445.7</v>
      </c>
      <c r="K14" s="11">
        <f>F14*1000/C14</f>
        <v>14.419206798866854</v>
      </c>
      <c r="M14" s="8">
        <f t="shared" si="6"/>
        <v>12055.490000000002</v>
      </c>
      <c r="N14" s="8">
        <f t="shared" ref="N14" si="8">M14+I14</f>
        <v>26501.190000000002</v>
      </c>
    </row>
    <row r="15" spans="1:16" ht="15" thickBot="1" x14ac:dyDescent="0.35">
      <c r="A15" s="1"/>
      <c r="B15" s="1" t="s">
        <v>18</v>
      </c>
      <c r="C15" s="1">
        <v>353</v>
      </c>
      <c r="D15" s="13">
        <f>SUM(D3:D14)</f>
        <v>81713.499900000024</v>
      </c>
      <c r="E15" s="3"/>
      <c r="F15" s="9">
        <f>SUM(F3:F14)</f>
        <v>66.979759999999999</v>
      </c>
      <c r="G15" s="3"/>
      <c r="H15" s="1"/>
      <c r="I15" s="13">
        <f>SUM(I3:I14)</f>
        <v>174641.25000000003</v>
      </c>
      <c r="K15" s="12">
        <f>SUM(K3:K14)</f>
        <v>189.3540853219379</v>
      </c>
      <c r="M15" s="13">
        <f t="shared" ref="M15" si="9">SUM(M3:M14)</f>
        <v>140974.68000000002</v>
      </c>
      <c r="N15" s="13">
        <f>SUM(N3:N14)</f>
        <v>315615.93</v>
      </c>
    </row>
    <row r="16" spans="1:16" ht="15" thickTop="1" x14ac:dyDescent="0.3">
      <c r="J16" s="4" t="s">
        <v>23</v>
      </c>
      <c r="K16">
        <v>190</v>
      </c>
    </row>
    <row r="17" spans="1:14" x14ac:dyDescent="0.3">
      <c r="J17" s="4" t="s">
        <v>19</v>
      </c>
      <c r="K17" s="2">
        <f>K15-K16</f>
        <v>-0.64591467806209835</v>
      </c>
      <c r="N17" s="15">
        <f>((N3+N4+N5+N6+N7+N8+N9+N10+N11+N12+N13+N14))</f>
        <v>315615.93</v>
      </c>
    </row>
    <row r="19" spans="1:14" x14ac:dyDescent="0.3">
      <c r="I19" t="s">
        <v>24</v>
      </c>
      <c r="K19">
        <f>(K15/12)*12</f>
        <v>189.3540853219379</v>
      </c>
    </row>
    <row r="20" spans="1:14" x14ac:dyDescent="0.3">
      <c r="C20" t="s">
        <v>25</v>
      </c>
      <c r="D20">
        <v>222</v>
      </c>
      <c r="I20" s="4" t="s">
        <v>26</v>
      </c>
      <c r="K20" s="14">
        <f>1-K19/D20</f>
        <v>0.14705366972100042</v>
      </c>
    </row>
    <row r="21" spans="1:14" x14ac:dyDescent="0.3">
      <c r="D21" s="4" t="s">
        <v>27</v>
      </c>
      <c r="F21">
        <f>F15/26</f>
        <v>2.5761446153846155</v>
      </c>
    </row>
    <row r="23" spans="1:14" x14ac:dyDescent="0.3">
      <c r="F23">
        <f>27*F21</f>
        <v>69.55590461538462</v>
      </c>
      <c r="K23">
        <f>F23*1000/C7</f>
        <v>196.48560625814864</v>
      </c>
    </row>
    <row r="25" spans="1:14" x14ac:dyDescent="0.3">
      <c r="F25">
        <v>70</v>
      </c>
      <c r="G25" t="s">
        <v>29</v>
      </c>
    </row>
    <row r="26" spans="1:14" x14ac:dyDescent="0.3">
      <c r="A26">
        <v>2023</v>
      </c>
      <c r="C26">
        <v>350</v>
      </c>
      <c r="D26">
        <v>290.39999999999998</v>
      </c>
      <c r="F26">
        <v>1190</v>
      </c>
    </row>
    <row r="27" spans="1:14" ht="18" x14ac:dyDescent="0.35">
      <c r="D27">
        <f>D26*C26</f>
        <v>101639.99999999999</v>
      </c>
      <c r="F27">
        <f>F26*F25</f>
        <v>83300</v>
      </c>
      <c r="I27">
        <f>(F27+D27)*1.15</f>
        <v>212680.99999999997</v>
      </c>
      <c r="M27">
        <f>12*M12*1.2</f>
        <v>173599.05600000001</v>
      </c>
      <c r="N27" s="16">
        <f>M27+I27</f>
        <v>386280.05599999998</v>
      </c>
    </row>
  </sheetData>
  <conditionalFormatting sqref="H17 K17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2024</vt:lpstr>
      <vt:lpstr>2023</vt:lpstr>
      <vt:lpstr>2022</vt:lpstr>
      <vt:lpstr>odhad 2023</vt:lpstr>
      <vt:lpstr>'2024'!Oblast_tisku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Ondratice</dc:creator>
  <cp:lastModifiedBy>Starosta</cp:lastModifiedBy>
  <cp:lastPrinted>2024-09-19T06:32:56Z</cp:lastPrinted>
  <dcterms:created xsi:type="dcterms:W3CDTF">2022-02-16T09:21:33Z</dcterms:created>
  <dcterms:modified xsi:type="dcterms:W3CDTF">2024-11-10T16:27:41Z</dcterms:modified>
</cp:coreProperties>
</file>