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kumenty\SDRUŽENÍ\Dopravní sdružení\Žaloba DPMLaJ\"/>
    </mc:Choice>
  </mc:AlternateContent>
  <xr:revisionPtr revIDLastSave="0" documentId="13_ncr:1_{F5957207-5044-4151-848F-16F3B1A0BDC1}" xr6:coauthVersionLast="47" xr6:coauthVersionMax="47" xr10:uidLastSave="{00000000-0000-0000-0000-000000000000}"/>
  <bookViews>
    <workbookView xWindow="144" yWindow="0" windowWidth="17280" windowHeight="12336" activeTab="2" xr2:uid="{83576D69-C191-45D0-949C-B084D4E4889A}"/>
  </bookViews>
  <sheets>
    <sheet name="List1" sheetId="1" r:id="rId1"/>
    <sheet name="31.12.2023" sheetId="2" r:id="rId2"/>
    <sheet name="smír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9" i="3" l="1"/>
  <c r="D53" i="3"/>
  <c r="E53" i="3"/>
  <c r="F53" i="3"/>
  <c r="G53" i="3"/>
  <c r="H53" i="3"/>
  <c r="C53" i="3"/>
  <c r="I11" i="3"/>
  <c r="H11" i="3"/>
  <c r="G11" i="3"/>
  <c r="F11" i="3"/>
  <c r="E11" i="3"/>
  <c r="D11" i="3"/>
  <c r="C11" i="3"/>
  <c r="B11" i="3"/>
  <c r="A53" i="3"/>
  <c r="I53" i="3" l="1"/>
  <c r="H9" i="1" l="1"/>
  <c r="G9" i="1"/>
  <c r="F9" i="1"/>
  <c r="E9" i="1"/>
  <c r="D9" i="1"/>
  <c r="C9" i="1"/>
  <c r="B9" i="1"/>
  <c r="H9" i="2"/>
  <c r="G9" i="2"/>
  <c r="F9" i="2"/>
  <c r="E9" i="2"/>
  <c r="D9" i="2"/>
  <c r="C9" i="2"/>
  <c r="B9" i="2"/>
  <c r="H9" i="3"/>
  <c r="G9" i="3"/>
  <c r="F9" i="3"/>
  <c r="E9" i="3"/>
  <c r="D9" i="3"/>
  <c r="C9" i="3"/>
  <c r="B9" i="3"/>
  <c r="A41" i="3" l="1"/>
  <c r="A48" i="3" s="1"/>
  <c r="H8" i="3"/>
  <c r="G8" i="3"/>
  <c r="F8" i="3"/>
  <c r="E8" i="3"/>
  <c r="D8" i="3"/>
  <c r="C8" i="3"/>
  <c r="B8" i="3"/>
  <c r="H7" i="3"/>
  <c r="G7" i="3"/>
  <c r="F7" i="3"/>
  <c r="E7" i="3"/>
  <c r="D7" i="3"/>
  <c r="C7" i="3"/>
  <c r="B7" i="3"/>
  <c r="H6" i="3"/>
  <c r="G6" i="3"/>
  <c r="F6" i="3"/>
  <c r="E6" i="3"/>
  <c r="D6" i="3"/>
  <c r="C6" i="3"/>
  <c r="B6" i="3"/>
  <c r="H5" i="3"/>
  <c r="G5" i="3"/>
  <c r="F5" i="3"/>
  <c r="E5" i="3"/>
  <c r="D5" i="3"/>
  <c r="C5" i="3"/>
  <c r="B5" i="3"/>
  <c r="A55" i="2"/>
  <c r="A58" i="2"/>
  <c r="A45" i="2"/>
  <c r="A18" i="2"/>
  <c r="I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H5" i="2"/>
  <c r="G5" i="2"/>
  <c r="F5" i="2"/>
  <c r="E5" i="2"/>
  <c r="D5" i="2"/>
  <c r="C5" i="2"/>
  <c r="B5" i="2"/>
  <c r="B10" i="2" s="1"/>
  <c r="B52" i="2" s="1"/>
  <c r="D10" i="2" l="1"/>
  <c r="D52" i="2" s="1"/>
  <c r="C10" i="2"/>
  <c r="C49" i="2" s="1"/>
  <c r="C10" i="3"/>
  <c r="I9" i="3"/>
  <c r="I7" i="3"/>
  <c r="G10" i="3"/>
  <c r="F10" i="3"/>
  <c r="H10" i="3"/>
  <c r="H45" i="3" s="1"/>
  <c r="I6" i="3"/>
  <c r="I8" i="3"/>
  <c r="I5" i="3"/>
  <c r="D10" i="3"/>
  <c r="D45" i="3" s="1"/>
  <c r="E10" i="3"/>
  <c r="B10" i="3"/>
  <c r="B45" i="3" s="1"/>
  <c r="B49" i="2"/>
  <c r="G10" i="2"/>
  <c r="G14" i="2" s="1"/>
  <c r="I6" i="2"/>
  <c r="D49" i="2"/>
  <c r="D55" i="2" s="1"/>
  <c r="B42" i="2"/>
  <c r="E10" i="2"/>
  <c r="F10" i="2"/>
  <c r="H10" i="2"/>
  <c r="H31" i="2" s="1"/>
  <c r="I7" i="2"/>
  <c r="I8" i="2"/>
  <c r="C42" i="2"/>
  <c r="C27" i="2"/>
  <c r="C14" i="2"/>
  <c r="C31" i="2"/>
  <c r="C38" i="2"/>
  <c r="C22" i="2"/>
  <c r="D42" i="2"/>
  <c r="D27" i="2"/>
  <c r="D14" i="2"/>
  <c r="D31" i="2"/>
  <c r="D38" i="2"/>
  <c r="D22" i="2"/>
  <c r="B38" i="2"/>
  <c r="B22" i="2"/>
  <c r="B27" i="2"/>
  <c r="B14" i="2"/>
  <c r="B31" i="2"/>
  <c r="B18" i="2"/>
  <c r="I5" i="2"/>
  <c r="C18" i="2"/>
  <c r="D18" i="2"/>
  <c r="H8" i="1"/>
  <c r="G8" i="1"/>
  <c r="F8" i="1"/>
  <c r="E8" i="1"/>
  <c r="D8" i="1"/>
  <c r="C8" i="1"/>
  <c r="B8" i="1"/>
  <c r="F14" i="3" l="1"/>
  <c r="F45" i="3"/>
  <c r="G30" i="3"/>
  <c r="G45" i="3"/>
  <c r="C24" i="3"/>
  <c r="C45" i="3"/>
  <c r="E30" i="3"/>
  <c r="E45" i="3"/>
  <c r="I45" i="3" s="1"/>
  <c r="C52" i="2"/>
  <c r="C55" i="2" s="1"/>
  <c r="C14" i="3"/>
  <c r="C36" i="3"/>
  <c r="G18" i="3"/>
  <c r="G22" i="2"/>
  <c r="H27" i="2"/>
  <c r="C18" i="3"/>
  <c r="G38" i="2"/>
  <c r="G18" i="2"/>
  <c r="G31" i="2"/>
  <c r="C30" i="3"/>
  <c r="G14" i="3"/>
  <c r="E36" i="3"/>
  <c r="H24" i="3"/>
  <c r="E18" i="3"/>
  <c r="G36" i="3"/>
  <c r="F24" i="3"/>
  <c r="E14" i="3"/>
  <c r="G24" i="3"/>
  <c r="F30" i="3"/>
  <c r="H36" i="3"/>
  <c r="F36" i="3"/>
  <c r="H30" i="3"/>
  <c r="F18" i="3"/>
  <c r="D18" i="3"/>
  <c r="H18" i="3"/>
  <c r="H14" i="3"/>
  <c r="D30" i="3"/>
  <c r="D36" i="3"/>
  <c r="D14" i="3"/>
  <c r="B24" i="3"/>
  <c r="B18" i="3"/>
  <c r="D24" i="3"/>
  <c r="E24" i="3"/>
  <c r="B14" i="3"/>
  <c r="I10" i="3"/>
  <c r="B36" i="3"/>
  <c r="B30" i="3"/>
  <c r="F49" i="2"/>
  <c r="F52" i="2"/>
  <c r="E49" i="2"/>
  <c r="E52" i="2"/>
  <c r="H42" i="2"/>
  <c r="I10" i="2"/>
  <c r="I52" i="2" s="1"/>
  <c r="H52" i="2"/>
  <c r="H49" i="2"/>
  <c r="H55" i="2" s="1"/>
  <c r="F22" i="2"/>
  <c r="F38" i="2"/>
  <c r="I38" i="2" s="1"/>
  <c r="G52" i="2"/>
  <c r="G49" i="2"/>
  <c r="G55" i="2" s="1"/>
  <c r="H38" i="2"/>
  <c r="E22" i="2"/>
  <c r="E38" i="2"/>
  <c r="H22" i="2"/>
  <c r="F31" i="2"/>
  <c r="F14" i="2"/>
  <c r="E31" i="2"/>
  <c r="I31" i="2" s="1"/>
  <c r="H18" i="2"/>
  <c r="F27" i="2"/>
  <c r="I27" i="2" s="1"/>
  <c r="E14" i="2"/>
  <c r="I14" i="2" s="1"/>
  <c r="F18" i="2"/>
  <c r="E27" i="2"/>
  <c r="B55" i="2"/>
  <c r="E18" i="2"/>
  <c r="G27" i="2"/>
  <c r="F42" i="2"/>
  <c r="G42" i="2"/>
  <c r="H14" i="2"/>
  <c r="E42" i="2"/>
  <c r="I42" i="2"/>
  <c r="B45" i="2"/>
  <c r="B58" i="2" s="1"/>
  <c r="D45" i="2"/>
  <c r="D58" i="2" s="1"/>
  <c r="C45" i="2"/>
  <c r="C58" i="2" s="1"/>
  <c r="I8" i="1"/>
  <c r="I9" i="1"/>
  <c r="H7" i="1"/>
  <c r="G7" i="1"/>
  <c r="F7" i="1"/>
  <c r="E7" i="1"/>
  <c r="D7" i="1"/>
  <c r="C7" i="1"/>
  <c r="B7" i="1"/>
  <c r="C41" i="3" l="1"/>
  <c r="C48" i="3" s="1"/>
  <c r="I18" i="2"/>
  <c r="I45" i="2" s="1"/>
  <c r="I22" i="2"/>
  <c r="G41" i="3"/>
  <c r="G48" i="3" s="1"/>
  <c r="H45" i="2"/>
  <c r="H58" i="2" s="1"/>
  <c r="E41" i="3"/>
  <c r="E48" i="3" s="1"/>
  <c r="F45" i="2"/>
  <c r="F58" i="2" s="1"/>
  <c r="G45" i="2"/>
  <c r="G58" i="2" s="1"/>
  <c r="B41" i="3"/>
  <c r="B48" i="3" s="1"/>
  <c r="F41" i="3"/>
  <c r="F48" i="3" s="1"/>
  <c r="H41" i="3"/>
  <c r="H48" i="3" s="1"/>
  <c r="D41" i="3"/>
  <c r="D48" i="3" s="1"/>
  <c r="I30" i="3"/>
  <c r="I18" i="3"/>
  <c r="I24" i="3"/>
  <c r="I14" i="3"/>
  <c r="I36" i="3"/>
  <c r="E45" i="2"/>
  <c r="E58" i="2" s="1"/>
  <c r="E55" i="2"/>
  <c r="I49" i="2"/>
  <c r="I55" i="2" s="1"/>
  <c r="F55" i="2"/>
  <c r="I7" i="1"/>
  <c r="I41" i="3" l="1"/>
  <c r="I48" i="3" s="1"/>
  <c r="I58" i="2"/>
  <c r="H6" i="1"/>
  <c r="G6" i="1"/>
  <c r="F6" i="1"/>
  <c r="E6" i="1"/>
  <c r="D6" i="1"/>
  <c r="C6" i="1"/>
  <c r="B6" i="1"/>
  <c r="I6" i="1" l="1"/>
  <c r="A18" i="1"/>
  <c r="A45" i="1" s="1"/>
  <c r="H5" i="1"/>
  <c r="H10" i="1" s="1"/>
  <c r="G5" i="1"/>
  <c r="G10" i="1" s="1"/>
  <c r="F5" i="1"/>
  <c r="F10" i="1" s="1"/>
  <c r="E5" i="1"/>
  <c r="E10" i="1" s="1"/>
  <c r="D5" i="1"/>
  <c r="D10" i="1" s="1"/>
  <c r="C5" i="1"/>
  <c r="C10" i="1" s="1"/>
  <c r="B5" i="1"/>
  <c r="B10" i="1" s="1"/>
  <c r="B42" i="1" s="1"/>
  <c r="C38" i="1" l="1"/>
  <c r="C42" i="1"/>
  <c r="D38" i="1"/>
  <c r="D42" i="1"/>
  <c r="F38" i="1"/>
  <c r="F42" i="1"/>
  <c r="G38" i="1"/>
  <c r="G42" i="1"/>
  <c r="E38" i="1"/>
  <c r="E42" i="1"/>
  <c r="H38" i="1"/>
  <c r="H42" i="1"/>
  <c r="B38" i="1"/>
  <c r="B31" i="1"/>
  <c r="G27" i="1"/>
  <c r="G31" i="1"/>
  <c r="H27" i="1"/>
  <c r="H31" i="1"/>
  <c r="B27" i="1"/>
  <c r="C27" i="1"/>
  <c r="C31" i="1"/>
  <c r="D27" i="1"/>
  <c r="D31" i="1"/>
  <c r="E27" i="1"/>
  <c r="E31" i="1"/>
  <c r="F31" i="1"/>
  <c r="F27" i="1"/>
  <c r="C22" i="1"/>
  <c r="C14" i="1"/>
  <c r="D22" i="1"/>
  <c r="D14" i="1"/>
  <c r="H22" i="1"/>
  <c r="H14" i="1"/>
  <c r="E14" i="1"/>
  <c r="E22" i="1"/>
  <c r="D18" i="1"/>
  <c r="H18" i="1"/>
  <c r="E18" i="1"/>
  <c r="B18" i="1"/>
  <c r="F18" i="1"/>
  <c r="C18" i="1"/>
  <c r="G18" i="1"/>
  <c r="G22" i="1"/>
  <c r="G14" i="1"/>
  <c r="I10" i="1"/>
  <c r="B22" i="1"/>
  <c r="B14" i="1"/>
  <c r="B45" i="1" s="1"/>
  <c r="F22" i="1"/>
  <c r="F14" i="1"/>
  <c r="I5" i="1"/>
  <c r="I42" i="1" l="1"/>
  <c r="H45" i="1"/>
  <c r="E45" i="1"/>
  <c r="G45" i="1"/>
  <c r="D45" i="1"/>
  <c r="C45" i="1"/>
  <c r="F45" i="1"/>
  <c r="I38" i="1"/>
  <c r="I14" i="1"/>
  <c r="I27" i="1"/>
  <c r="I31" i="1"/>
  <c r="I22" i="1"/>
  <c r="I18" i="1"/>
  <c r="I45" i="1" l="1"/>
</calcChain>
</file>

<file path=xl/sharedStrings.xml><?xml version="1.0" encoding="utf-8"?>
<sst xmlns="http://schemas.openxmlformats.org/spreadsheetml/2006/main" count="100" uniqueCount="52">
  <si>
    <t>ORG</t>
  </si>
  <si>
    <t>Bedřichov</t>
  </si>
  <si>
    <t>Jablonec n.N.</t>
  </si>
  <si>
    <t>Janov n.N.</t>
  </si>
  <si>
    <t>Lučany n.N.</t>
  </si>
  <si>
    <t>Nová Ves n.N.</t>
  </si>
  <si>
    <t>Pulečný</t>
  </si>
  <si>
    <t>Rychnov u Jbc</t>
  </si>
  <si>
    <t>Propočet výdajů obcí na kauzu DPMLaJ</t>
  </si>
  <si>
    <t>název</t>
  </si>
  <si>
    <t>% r 2016</t>
  </si>
  <si>
    <t>podíl obcí</t>
  </si>
  <si>
    <t>fa 8018000038 z 10.12.2018 Pzi 2015 rozporovaná část</t>
  </si>
  <si>
    <t>kontrolní součet</t>
  </si>
  <si>
    <t>(prokazatelná ztráta i část Pzi 2015, která byla nerozporovaná byla zaplacená)</t>
  </si>
  <si>
    <t>fa 1018000005 z 26.2.2021 - prokazatelná ztráta roku 2016 + dobropis 141000001 ze dne 23.3.2021</t>
  </si>
  <si>
    <t>% r 2017</t>
  </si>
  <si>
    <t>% r 2018</t>
  </si>
  <si>
    <t>% r 2019</t>
  </si>
  <si>
    <t>% r 2020</t>
  </si>
  <si>
    <t>průměr</t>
  </si>
  <si>
    <t>fa 1018000004 ze dne 26.2.2021 Pzi 2016 v plné výši</t>
  </si>
  <si>
    <t>fa 2018000005 ze dne 8.3.2022 na prokazatelnou ztrátu roku 2017</t>
  </si>
  <si>
    <t>fa 2018000004 ze dne 8.3.2022 na Pzi 2017 v plné výši</t>
  </si>
  <si>
    <t>prozatímní součet za roky 2015-2017</t>
  </si>
  <si>
    <t>fa 3018000004 ze dne 28.2.2023 na Pzi 2018 v plné výši</t>
  </si>
  <si>
    <t>fa 3018000005 ze dne 28.2.2023 na prokazatelnou ztrátu za rok 2018</t>
  </si>
  <si>
    <t>fa 3018000032 ze dne 23.11.2023 na Pzo za 1/2019</t>
  </si>
  <si>
    <t>fa 3018000033 ze dne 23.11.2023 na proazatelnou ztrátu  za 1/2019</t>
  </si>
  <si>
    <t>KONEČNÝ SOUČET</t>
  </si>
  <si>
    <t>doúčtovat k  31.12.2023</t>
  </si>
  <si>
    <t>rok 2015 - nic</t>
  </si>
  <si>
    <t>rok 2016 jen prokazatelná ztráta dle smíru</t>
  </si>
  <si>
    <t>rok 2017 jen prokazatelná ztráta dle smíru</t>
  </si>
  <si>
    <t>rok 2018 jen prokazatelná ztráta dle smíru</t>
  </si>
  <si>
    <t>rok 2019 jen prokazatelná ztráta dle smíru</t>
  </si>
  <si>
    <t>(původní fa z 2021)</t>
  </si>
  <si>
    <t>(původní fa z 2022)</t>
  </si>
  <si>
    <t>(původní fa z 2023)</t>
  </si>
  <si>
    <t>do 1/2021 platil i Jablonec - poté jen zbylé obce</t>
  </si>
  <si>
    <t>KZ banky k 31.1.2021 - naspořeno od jednotlivých obcí</t>
  </si>
  <si>
    <t>zbývá k úhradě</t>
  </si>
  <si>
    <t>naspořeno obcemi k rozdělení:</t>
  </si>
  <si>
    <t>% bez JBC</t>
  </si>
  <si>
    <t>Komentář:</t>
  </si>
  <si>
    <t>Výsledná částka smíru byla rozpočítána mezi obce stejným poměrem jako původní faktury - růžové</t>
  </si>
  <si>
    <t xml:space="preserve">31.1.2021 došlo ke změně režimu financování DSOJ - od 2/2021 Jablonec neplatí nic, proto jsem konečný zůstatek na účtu </t>
  </si>
  <si>
    <t>rozpočítala mezi všechny obce podle stávajícího % podílů. Tato částka byla odečtena od růžového a byla částka k doplacení - žluté</t>
  </si>
  <si>
    <t xml:space="preserve"> Ostatní obce nadále platily zvýšenou částku a dle rozpočítání bez Jablonce si na svoje podíly naspořily.</t>
  </si>
  <si>
    <t>Jablonec musí doplatit 7 478 341,39 Kč.</t>
  </si>
  <si>
    <t>KZ banky k 31.12.2024</t>
  </si>
  <si>
    <t>jen obce bez JBC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</si>
</sst>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2" borderId="1" xfId="0" applyFont="1" applyFill="1" applyBorder="1"/>
    <xf numFmtId="0" fontId="3" fillId="3" borderId="1" xfId="0" applyFont="1" applyFill="1" applyBorder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3" fillId="0" borderId="2" xfId="0" applyFont="1" applyBorder="1"/>
    <xf numFmtId="0" fontId="5" fillId="0" borderId="2" xfId="0" applyFont="1" applyBorder="1"/>
    <xf numFmtId="2" fontId="3" fillId="0" borderId="1" xfId="0" applyNumberFormat="1" applyFont="1" applyBorder="1"/>
    <xf numFmtId="2" fontId="3" fillId="0" borderId="0" xfId="0" applyNumberFormat="1" applyFont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6" fillId="3" borderId="1" xfId="0" applyFont="1" applyFill="1" applyBorder="1"/>
    <xf numFmtId="4" fontId="4" fillId="4" borderId="0" xfId="0" applyNumberFormat="1" applyFont="1" applyFill="1"/>
    <xf numFmtId="4" fontId="3" fillId="4" borderId="0" xfId="0" applyNumberFormat="1" applyFont="1" applyFill="1"/>
    <xf numFmtId="4" fontId="5" fillId="4" borderId="0" xfId="0" applyNumberFormat="1" applyFont="1" applyFill="1"/>
    <xf numFmtId="0" fontId="1" fillId="0" borderId="2" xfId="0" applyFont="1" applyBorder="1"/>
    <xf numFmtId="4" fontId="4" fillId="5" borderId="0" xfId="0" applyNumberFormat="1" applyFont="1" applyFill="1"/>
    <xf numFmtId="4" fontId="3" fillId="5" borderId="0" xfId="0" applyNumberFormat="1" applyFont="1" applyFill="1"/>
    <xf numFmtId="4" fontId="5" fillId="5" borderId="0" xfId="0" applyNumberFormat="1" applyFont="1" applyFill="1"/>
    <xf numFmtId="4" fontId="3" fillId="0" borderId="0" xfId="0" applyNumberFormat="1" applyFont="1"/>
    <xf numFmtId="4" fontId="5" fillId="0" borderId="0" xfId="0" applyNumberFormat="1" applyFont="1"/>
    <xf numFmtId="0" fontId="8" fillId="0" borderId="0" xfId="0" applyFont="1"/>
    <xf numFmtId="4" fontId="8" fillId="0" borderId="0" xfId="0" applyNumberFormat="1" applyFont="1"/>
    <xf numFmtId="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5" fillId="0" borderId="5" xfId="0" applyFont="1" applyBorder="1"/>
    <xf numFmtId="4" fontId="8" fillId="6" borderId="6" xfId="0" applyNumberFormat="1" applyFont="1" applyFill="1" applyBorder="1"/>
    <xf numFmtId="4" fontId="1" fillId="6" borderId="2" xfId="0" applyNumberFormat="1" applyFont="1" applyFill="1" applyBorder="1"/>
    <xf numFmtId="4" fontId="5" fillId="6" borderId="7" xfId="0" applyNumberFormat="1" applyFont="1" applyFill="1" applyBorder="1"/>
    <xf numFmtId="4" fontId="8" fillId="7" borderId="6" xfId="0" applyNumberFormat="1" applyFont="1" applyFill="1" applyBorder="1"/>
    <xf numFmtId="4" fontId="1" fillId="7" borderId="2" xfId="0" applyNumberFormat="1" applyFont="1" applyFill="1" applyBorder="1"/>
    <xf numFmtId="4" fontId="5" fillId="0" borderId="7" xfId="0" applyNumberFormat="1" applyFont="1" applyBorder="1"/>
    <xf numFmtId="4" fontId="4" fillId="0" borderId="2" xfId="0" applyNumberFormat="1" applyFont="1" applyBorder="1"/>
    <xf numFmtId="4" fontId="3" fillId="0" borderId="2" xfId="0" applyNumberFormat="1" applyFont="1" applyBorder="1"/>
    <xf numFmtId="4" fontId="5" fillId="0" borderId="2" xfId="0" applyNumberFormat="1" applyFont="1" applyBorder="1"/>
    <xf numFmtId="4" fontId="1" fillId="8" borderId="0" xfId="0" applyNumberFormat="1" applyFont="1" applyFill="1"/>
    <xf numFmtId="2" fontId="5" fillId="0" borderId="0" xfId="0" applyNumberFormat="1" applyFont="1"/>
    <xf numFmtId="2" fontId="9" fillId="0" borderId="0" xfId="0" applyNumberFormat="1" applyFont="1"/>
    <xf numFmtId="4" fontId="8" fillId="9" borderId="0" xfId="0" applyNumberFormat="1" applyFont="1" applyFill="1"/>
    <xf numFmtId="4" fontId="3" fillId="9" borderId="0" xfId="0" applyNumberFormat="1" applyFont="1" applyFill="1"/>
    <xf numFmtId="4" fontId="5" fillId="9" borderId="0" xfId="0" applyNumberFormat="1" applyFont="1" applyFill="1"/>
    <xf numFmtId="4" fontId="3" fillId="10" borderId="0" xfId="0" applyNumberFormat="1" applyFont="1" applyFill="1"/>
    <xf numFmtId="4" fontId="5" fillId="0" borderId="0" xfId="0" applyNumberFormat="1" applyFont="1" applyFill="1"/>
    <xf numFmtId="4" fontId="1" fillId="8" borderId="8" xfId="0" applyNumberFormat="1" applyFont="1" applyFill="1" applyBorder="1"/>
    <xf numFmtId="0" fontId="5" fillId="3" borderId="0" xfId="0" applyFont="1" applyFill="1"/>
    <xf numFmtId="4" fontId="5" fillId="3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DRU&#381;EN&#205;/Dopravn&#237;%20sdru&#382;en&#237;/2016/V&#253;m&#283;r%20p&#345;&#237;sp&#283;vku%20DSOJ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DRU&#381;EN&#205;/Dopravn&#237;%20sdru&#382;en&#237;/2017/V&#253;m&#283;r%20p&#345;&#237;sp&#283;vku%20DSOJ%202017+ztr&#225;ta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DRU&#381;EN&#205;/Dopravn&#237;%20sdru&#382;en&#237;/2018/V&#253;m&#283;r%20p&#345;&#237;sp&#283;vku%20DSOJ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SDRU&#381;EN&#205;/Dopravn&#237;%20sdru&#382;en&#237;/2019/V&#253;m&#283;r%20p&#345;&#237;sp&#283;vku%20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okumenty\SDRU&#381;EN&#205;\Dopravn&#237;%20sdru&#382;en&#237;\2020\V&#253;m&#283;r%20p&#345;&#237;sp&#283;vku%20DSOJ%202020%20definitivn&#237;.xlsx" TargetMode="External"/><Relationship Id="rId1" Type="http://schemas.openxmlformats.org/officeDocument/2006/relationships/externalLinkPath" Target="/Dokumenty/SDRU&#381;EN&#205;/Dopravn&#237;%20sdru&#382;en&#237;/2020/V&#253;m&#283;r%20p&#345;&#237;sp&#283;vku%20DSOJ%202020%20definitivn&#23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měr-sumář"/>
    </sheetNames>
    <sheetDataSet>
      <sheetData sheetId="0">
        <row r="8">
          <cell r="H8">
            <v>0.56000000000000005</v>
          </cell>
        </row>
        <row r="9">
          <cell r="H9">
            <v>87.55</v>
          </cell>
        </row>
        <row r="10">
          <cell r="H10">
            <v>2.27</v>
          </cell>
        </row>
        <row r="11">
          <cell r="H11">
            <v>3.04</v>
          </cell>
        </row>
        <row r="12">
          <cell r="H12">
            <v>1.32</v>
          </cell>
        </row>
        <row r="13">
          <cell r="H13">
            <v>0.69</v>
          </cell>
        </row>
        <row r="14">
          <cell r="H14">
            <v>4.57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počet ztráty 2016"/>
      <sheetName val="Výměr-sumář"/>
    </sheetNames>
    <sheetDataSet>
      <sheetData sheetId="0">
        <row r="8">
          <cell r="J8">
            <v>0.55335968379446643</v>
          </cell>
        </row>
        <row r="9">
          <cell r="J9">
            <v>87.509881422924906</v>
          </cell>
        </row>
        <row r="10">
          <cell r="J10">
            <v>2.2924901185770752</v>
          </cell>
        </row>
        <row r="11">
          <cell r="J11">
            <v>3.0039525691699605</v>
          </cell>
        </row>
        <row r="12">
          <cell r="J12">
            <v>1.3175230566534915</v>
          </cell>
        </row>
        <row r="13">
          <cell r="J13">
            <v>0.71146245059288538</v>
          </cell>
        </row>
        <row r="14">
          <cell r="J14">
            <v>4.6113306982872198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měr-sumář"/>
    </sheetNames>
    <sheetDataSet>
      <sheetData sheetId="0">
        <row r="3">
          <cell r="I3">
            <v>0.55000000000000004</v>
          </cell>
        </row>
        <row r="4">
          <cell r="I4">
            <v>87.35</v>
          </cell>
        </row>
        <row r="5">
          <cell r="I5">
            <v>2.3199999999999998</v>
          </cell>
        </row>
        <row r="6">
          <cell r="I6">
            <v>3.05</v>
          </cell>
        </row>
        <row r="7">
          <cell r="I7">
            <v>1.39</v>
          </cell>
        </row>
        <row r="8">
          <cell r="I8">
            <v>0.74</v>
          </cell>
        </row>
        <row r="9">
          <cell r="I9">
            <v>4.5999999999999996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měr-sumář 2019"/>
      <sheetName val="dle VH 30.1.2019"/>
      <sheetName val="List1"/>
    </sheetNames>
    <sheetDataSet>
      <sheetData sheetId="0"/>
      <sheetData sheetId="1">
        <row r="3">
          <cell r="I3">
            <v>0.65</v>
          </cell>
        </row>
        <row r="4">
          <cell r="I4">
            <v>87.09</v>
          </cell>
        </row>
        <row r="5">
          <cell r="I5">
            <v>2.42</v>
          </cell>
        </row>
        <row r="6">
          <cell r="I6">
            <v>3.29</v>
          </cell>
        </row>
        <row r="7">
          <cell r="I7">
            <v>0.83</v>
          </cell>
        </row>
        <row r="8">
          <cell r="I8">
            <v>0.82</v>
          </cell>
        </row>
        <row r="9">
          <cell r="I9">
            <v>4.9000000000000004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ýměr-sumář 2020"/>
      <sheetName val="podíly"/>
      <sheetName val="List1"/>
    </sheetNames>
    <sheetDataSet>
      <sheetData sheetId="0" refreshError="1"/>
      <sheetData sheetId="1">
        <row r="2">
          <cell r="C2">
            <v>0.65</v>
          </cell>
        </row>
        <row r="3">
          <cell r="C3">
            <v>86.96</v>
          </cell>
        </row>
        <row r="4">
          <cell r="C4">
            <v>2.48</v>
          </cell>
        </row>
        <row r="5">
          <cell r="C5">
            <v>3.39</v>
          </cell>
        </row>
        <row r="6">
          <cell r="C6">
            <v>0.75</v>
          </cell>
        </row>
        <row r="7">
          <cell r="C7">
            <v>0.84</v>
          </cell>
        </row>
        <row r="8">
          <cell r="C8">
            <v>4.93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FC89B-CCD0-467D-9E88-416C4F5FCE05}">
  <dimension ref="A1:I47"/>
  <sheetViews>
    <sheetView workbookViewId="0">
      <selection activeCell="G13" sqref="G13"/>
    </sheetView>
  </sheetViews>
  <sheetFormatPr defaultRowHeight="13.8" x14ac:dyDescent="0.25"/>
  <cols>
    <col min="1" max="1" width="14.33203125" style="1" customWidth="1"/>
    <col min="2" max="2" width="12.88671875" style="1" customWidth="1"/>
    <col min="3" max="3" width="12.6640625" style="1" customWidth="1"/>
    <col min="4" max="4" width="11.5546875" style="1" customWidth="1"/>
    <col min="5" max="5" width="12.77734375" style="1" customWidth="1"/>
    <col min="6" max="8" width="11.5546875" style="1" customWidth="1"/>
    <col min="9" max="9" width="12.109375" style="9" customWidth="1"/>
    <col min="10" max="16384" width="8.88671875" style="1"/>
  </cols>
  <sheetData>
    <row r="1" spans="1:9" s="2" customFormat="1" ht="23.4" customHeight="1" x14ac:dyDescent="0.3">
      <c r="A1" s="2" t="s">
        <v>8</v>
      </c>
      <c r="I1" s="9"/>
    </row>
    <row r="3" spans="1:9" s="3" customFormat="1" ht="13.2" x14ac:dyDescent="0.25">
      <c r="A3" s="6" t="s">
        <v>0</v>
      </c>
      <c r="B3" s="5">
        <v>3001</v>
      </c>
      <c r="C3" s="5">
        <v>3003</v>
      </c>
      <c r="D3" s="5">
        <v>3009</v>
      </c>
      <c r="E3" s="5">
        <v>3013</v>
      </c>
      <c r="F3" s="5">
        <v>3022</v>
      </c>
      <c r="G3" s="5">
        <v>3025</v>
      </c>
      <c r="H3" s="5">
        <v>3028</v>
      </c>
      <c r="I3" s="10" t="s">
        <v>13</v>
      </c>
    </row>
    <row r="4" spans="1:9" s="3" customFormat="1" ht="13.2" x14ac:dyDescent="0.25">
      <c r="A4" s="6" t="s">
        <v>9</v>
      </c>
      <c r="B4" s="4" t="s">
        <v>2</v>
      </c>
      <c r="C4" s="4" t="s">
        <v>7</v>
      </c>
      <c r="D4" s="4" t="s">
        <v>1</v>
      </c>
      <c r="E4" s="4" t="s">
        <v>3</v>
      </c>
      <c r="F4" s="4" t="s">
        <v>4</v>
      </c>
      <c r="G4" s="4" t="s">
        <v>5</v>
      </c>
      <c r="H4" s="4" t="s">
        <v>6</v>
      </c>
      <c r="I4" s="10"/>
    </row>
    <row r="5" spans="1:9" s="3" customFormat="1" ht="13.2" x14ac:dyDescent="0.25">
      <c r="A5" s="6" t="s">
        <v>10</v>
      </c>
      <c r="B5" s="14">
        <f>'[1]Výměr-sumář'!$H$9</f>
        <v>87.55</v>
      </c>
      <c r="C5" s="14">
        <f>'[1]Výměr-sumář'!$H$14</f>
        <v>4.57</v>
      </c>
      <c r="D5" s="14">
        <f>'[1]Výměr-sumář'!$H$8</f>
        <v>0.56000000000000005</v>
      </c>
      <c r="E5" s="14">
        <f>'[1]Výměr-sumář'!$H$10</f>
        <v>2.27</v>
      </c>
      <c r="F5" s="14">
        <f>'[1]Výměr-sumář'!$H$11</f>
        <v>3.04</v>
      </c>
      <c r="G5" s="14">
        <f>'[1]Výměr-sumář'!$H$12</f>
        <v>1.32</v>
      </c>
      <c r="H5" s="14">
        <f>'[1]Výměr-sumář'!$H$13</f>
        <v>0.69</v>
      </c>
      <c r="I5" s="10">
        <f>SUM(B5:H5)</f>
        <v>100</v>
      </c>
    </row>
    <row r="6" spans="1:9" s="3" customFormat="1" ht="13.2" x14ac:dyDescent="0.25">
      <c r="A6" s="6" t="s">
        <v>16</v>
      </c>
      <c r="B6" s="14">
        <f>'[2]Výpočet ztráty 2016'!$J$9</f>
        <v>87.509881422924906</v>
      </c>
      <c r="C6" s="14">
        <f>'[2]Výpočet ztráty 2016'!$J$14</f>
        <v>4.6113306982872198</v>
      </c>
      <c r="D6" s="14">
        <f>'[2]Výpočet ztráty 2016'!$J$8</f>
        <v>0.55335968379446643</v>
      </c>
      <c r="E6" s="14">
        <f>'[2]Výpočet ztráty 2016'!$J$10</f>
        <v>2.2924901185770752</v>
      </c>
      <c r="F6" s="14">
        <f>'[2]Výpočet ztráty 2016'!$J$11</f>
        <v>3.0039525691699605</v>
      </c>
      <c r="G6" s="14">
        <f>'[2]Výpočet ztráty 2016'!$J$12</f>
        <v>1.3175230566534915</v>
      </c>
      <c r="H6" s="14">
        <f>'[2]Výpočet ztráty 2016'!$J$13</f>
        <v>0.71146245059288538</v>
      </c>
      <c r="I6" s="10">
        <f>SUM(B6:H6)</f>
        <v>100</v>
      </c>
    </row>
    <row r="7" spans="1:9" s="3" customFormat="1" ht="13.2" x14ac:dyDescent="0.25">
      <c r="A7" s="6" t="s">
        <v>17</v>
      </c>
      <c r="B7" s="14">
        <f>'[3]Výměr-sumář'!$I$4</f>
        <v>87.35</v>
      </c>
      <c r="C7" s="14">
        <f>'[3]Výměr-sumář'!$I$9</f>
        <v>4.5999999999999996</v>
      </c>
      <c r="D7" s="14">
        <f>'[3]Výměr-sumář'!$I$3</f>
        <v>0.55000000000000004</v>
      </c>
      <c r="E7" s="14">
        <f>'[3]Výměr-sumář'!$I$5</f>
        <v>2.3199999999999998</v>
      </c>
      <c r="F7" s="14">
        <f>'[3]Výměr-sumář'!$I$6</f>
        <v>3.05</v>
      </c>
      <c r="G7" s="14">
        <f>'[3]Výměr-sumář'!$I$7</f>
        <v>1.39</v>
      </c>
      <c r="H7" s="14">
        <f>'[3]Výměr-sumář'!$I$8</f>
        <v>0.74</v>
      </c>
      <c r="I7" s="10">
        <f>SUM(B7:H7)</f>
        <v>99.999999999999972</v>
      </c>
    </row>
    <row r="8" spans="1:9" s="3" customFormat="1" ht="13.2" x14ac:dyDescent="0.25">
      <c r="A8" s="6" t="s">
        <v>18</v>
      </c>
      <c r="B8" s="14">
        <f>'[4]dle VH 30.1.2019'!$I$4</f>
        <v>87.09</v>
      </c>
      <c r="C8" s="14">
        <f>'[4]dle VH 30.1.2019'!$I$9</f>
        <v>4.9000000000000004</v>
      </c>
      <c r="D8" s="14">
        <f>'[4]dle VH 30.1.2019'!$I$3</f>
        <v>0.65</v>
      </c>
      <c r="E8" s="14">
        <f>'[4]dle VH 30.1.2019'!$I$5</f>
        <v>2.42</v>
      </c>
      <c r="F8" s="14">
        <f>'[4]dle VH 30.1.2019'!$I$6</f>
        <v>3.29</v>
      </c>
      <c r="G8" s="14">
        <f>'[4]dle VH 30.1.2019'!$I$7</f>
        <v>0.83</v>
      </c>
      <c r="H8" s="14">
        <f>'[4]dle VH 30.1.2019'!$I$8</f>
        <v>0.82</v>
      </c>
      <c r="I8" s="10">
        <f t="shared" ref="I8:I10" si="0">SUM(B8:H8)</f>
        <v>100.00000000000001</v>
      </c>
    </row>
    <row r="9" spans="1:9" s="3" customFormat="1" ht="13.2" x14ac:dyDescent="0.25">
      <c r="A9" s="6" t="s">
        <v>19</v>
      </c>
      <c r="B9" s="14">
        <f>[5]podíly!$C$3</f>
        <v>86.96</v>
      </c>
      <c r="C9" s="14">
        <f>[5]podíly!$C$8</f>
        <v>4.93</v>
      </c>
      <c r="D9" s="14">
        <f>[5]podíly!$C$2</f>
        <v>0.65</v>
      </c>
      <c r="E9" s="14">
        <f>[5]podíly!$C$4</f>
        <v>2.48</v>
      </c>
      <c r="F9" s="14">
        <f>[5]podíly!$C$5</f>
        <v>3.39</v>
      </c>
      <c r="G9" s="14">
        <f>[5]podíly!$C$6</f>
        <v>0.75</v>
      </c>
      <c r="H9" s="14">
        <f>[5]podíly!$C$7</f>
        <v>0.84</v>
      </c>
      <c r="I9" s="10">
        <f t="shared" si="0"/>
        <v>100</v>
      </c>
    </row>
    <row r="10" spans="1:9" s="7" customFormat="1" ht="13.2" x14ac:dyDescent="0.25">
      <c r="A10" s="16" t="s">
        <v>20</v>
      </c>
      <c r="B10" s="17">
        <f>ROUND(SUM(B5:B9)/5,2)+0.01</f>
        <v>87.300000000000011</v>
      </c>
      <c r="C10" s="17">
        <f t="shared" ref="C10:H10" si="1">ROUND(SUM(C5:C9)/5,2)</f>
        <v>4.72</v>
      </c>
      <c r="D10" s="17">
        <f t="shared" si="1"/>
        <v>0.59</v>
      </c>
      <c r="E10" s="17">
        <f t="shared" si="1"/>
        <v>2.36</v>
      </c>
      <c r="F10" s="17">
        <f t="shared" si="1"/>
        <v>3.15</v>
      </c>
      <c r="G10" s="17">
        <f t="shared" si="1"/>
        <v>1.1200000000000001</v>
      </c>
      <c r="H10" s="17">
        <f t="shared" si="1"/>
        <v>0.76</v>
      </c>
      <c r="I10" s="18">
        <f t="shared" si="0"/>
        <v>100.00000000000003</v>
      </c>
    </row>
    <row r="11" spans="1:9" s="3" customFormat="1" ht="13.2" x14ac:dyDescent="0.25">
      <c r="B11" s="15"/>
      <c r="C11" s="15"/>
      <c r="D11" s="15"/>
      <c r="E11" s="15"/>
      <c r="F11" s="15"/>
      <c r="G11" s="15"/>
      <c r="H11" s="15"/>
      <c r="I11" s="9"/>
    </row>
    <row r="12" spans="1:9" s="7" customFormat="1" ht="13.2" x14ac:dyDescent="0.25">
      <c r="A12" s="7" t="s">
        <v>12</v>
      </c>
      <c r="E12" s="7" t="s">
        <v>14</v>
      </c>
      <c r="F12" s="8"/>
      <c r="I12" s="11"/>
    </row>
    <row r="13" spans="1:9" s="3" customFormat="1" ht="13.2" x14ac:dyDescent="0.25">
      <c r="A13" s="3" t="s">
        <v>11</v>
      </c>
      <c r="I13" s="9"/>
    </row>
    <row r="14" spans="1:9" s="3" customFormat="1" ht="13.2" x14ac:dyDescent="0.25">
      <c r="A14" s="19">
        <v>11065592</v>
      </c>
      <c r="B14" s="20">
        <f>ROUND($A$14*B10/100,2)</f>
        <v>9660261.8200000003</v>
      </c>
      <c r="C14" s="20">
        <f t="shared" ref="C14:H14" si="2">ROUND($A$14*C10/100,2)</f>
        <v>522295.94</v>
      </c>
      <c r="D14" s="20">
        <f t="shared" si="2"/>
        <v>65286.99</v>
      </c>
      <c r="E14" s="20">
        <f t="shared" si="2"/>
        <v>261147.97</v>
      </c>
      <c r="F14" s="20">
        <f t="shared" si="2"/>
        <v>348566.15</v>
      </c>
      <c r="G14" s="20">
        <f t="shared" si="2"/>
        <v>123934.63</v>
      </c>
      <c r="H14" s="20">
        <f t="shared" si="2"/>
        <v>84098.5</v>
      </c>
      <c r="I14" s="21">
        <f>SUM(B14:H14)</f>
        <v>11065592.000000002</v>
      </c>
    </row>
    <row r="15" spans="1:9" s="3" customFormat="1" thickBot="1" x14ac:dyDescent="0.3">
      <c r="A15" s="12"/>
      <c r="B15" s="12"/>
      <c r="C15" s="12"/>
      <c r="D15" s="12"/>
      <c r="E15" s="12"/>
      <c r="F15" s="12"/>
      <c r="G15" s="12"/>
      <c r="H15" s="12"/>
      <c r="I15" s="13"/>
    </row>
    <row r="16" spans="1:9" s="7" customFormat="1" ht="13.2" x14ac:dyDescent="0.25">
      <c r="A16" s="7" t="s">
        <v>15</v>
      </c>
      <c r="I16" s="11"/>
    </row>
    <row r="17" spans="1:9" s="3" customFormat="1" ht="13.2" x14ac:dyDescent="0.25">
      <c r="I17" s="9"/>
    </row>
    <row r="18" spans="1:9" s="3" customFormat="1" ht="13.2" x14ac:dyDescent="0.25">
      <c r="A18" s="19">
        <f>5105364-22172</f>
        <v>5083192</v>
      </c>
      <c r="B18" s="20">
        <f>ROUND($A$18*B10/100,2)</f>
        <v>4437626.62</v>
      </c>
      <c r="C18" s="20">
        <f t="shared" ref="C18:H18" si="3">ROUND($A$18*C10/100,2)</f>
        <v>239926.66</v>
      </c>
      <c r="D18" s="20">
        <f t="shared" si="3"/>
        <v>29990.83</v>
      </c>
      <c r="E18" s="20">
        <f t="shared" si="3"/>
        <v>119963.33</v>
      </c>
      <c r="F18" s="20">
        <f t="shared" si="3"/>
        <v>160120.54999999999</v>
      </c>
      <c r="G18" s="20">
        <f t="shared" si="3"/>
        <v>56931.75</v>
      </c>
      <c r="H18" s="20">
        <f t="shared" si="3"/>
        <v>38632.26</v>
      </c>
      <c r="I18" s="21">
        <f>SUM(B18:H18)</f>
        <v>5083192</v>
      </c>
    </row>
    <row r="19" spans="1:9" s="3" customFormat="1" ht="13.2" x14ac:dyDescent="0.25">
      <c r="I19" s="9"/>
    </row>
    <row r="20" spans="1:9" s="7" customFormat="1" ht="13.2" x14ac:dyDescent="0.25">
      <c r="A20" s="7" t="s">
        <v>21</v>
      </c>
      <c r="I20" s="11"/>
    </row>
    <row r="21" spans="1:9" s="3" customFormat="1" ht="13.2" x14ac:dyDescent="0.25">
      <c r="I21" s="9"/>
    </row>
    <row r="22" spans="1:9" s="3" customFormat="1" ht="13.2" x14ac:dyDescent="0.25">
      <c r="A22" s="19">
        <v>17524354.870000001</v>
      </c>
      <c r="B22" s="20">
        <f>ROUND($A$22*B10/100,2)+0.01</f>
        <v>15298761.810000001</v>
      </c>
      <c r="C22" s="20">
        <f t="shared" ref="C22:H22" si="4">ROUND($A$22*C10/100,2)</f>
        <v>827149.55</v>
      </c>
      <c r="D22" s="20">
        <f t="shared" si="4"/>
        <v>103393.69</v>
      </c>
      <c r="E22" s="20">
        <f t="shared" si="4"/>
        <v>413574.77</v>
      </c>
      <c r="F22" s="20">
        <f t="shared" si="4"/>
        <v>552017.18000000005</v>
      </c>
      <c r="G22" s="20">
        <f t="shared" si="4"/>
        <v>196272.77</v>
      </c>
      <c r="H22" s="20">
        <f t="shared" si="4"/>
        <v>133185.1</v>
      </c>
      <c r="I22" s="21">
        <f>SUM(B22:H22)</f>
        <v>17524354.870000001</v>
      </c>
    </row>
    <row r="23" spans="1:9" ht="14.4" thickBot="1" x14ac:dyDescent="0.3">
      <c r="A23" s="22"/>
      <c r="B23" s="22"/>
      <c r="C23" s="22"/>
      <c r="D23" s="22"/>
      <c r="E23" s="22"/>
      <c r="F23" s="22"/>
      <c r="G23" s="22"/>
      <c r="H23" s="22"/>
      <c r="I23" s="13"/>
    </row>
    <row r="25" spans="1:9" s="7" customFormat="1" ht="13.2" x14ac:dyDescent="0.25">
      <c r="A25" s="7" t="s">
        <v>22</v>
      </c>
      <c r="I25" s="11"/>
    </row>
    <row r="27" spans="1:9" s="3" customFormat="1" ht="13.2" x14ac:dyDescent="0.25">
      <c r="A27" s="19">
        <v>3711191</v>
      </c>
      <c r="B27" s="20">
        <f>ROUND($A$27*B10/100,2)-0.01</f>
        <v>3239869.7300000004</v>
      </c>
      <c r="C27" s="20">
        <f t="shared" ref="C27:H27" si="5">ROUND($A$27*C10/100,2)</f>
        <v>175168.22</v>
      </c>
      <c r="D27" s="20">
        <f t="shared" si="5"/>
        <v>21896.03</v>
      </c>
      <c r="E27" s="20">
        <f t="shared" si="5"/>
        <v>87584.11</v>
      </c>
      <c r="F27" s="20">
        <f t="shared" si="5"/>
        <v>116902.52</v>
      </c>
      <c r="G27" s="20">
        <f t="shared" si="5"/>
        <v>41565.339999999997</v>
      </c>
      <c r="H27" s="20">
        <f t="shared" si="5"/>
        <v>28205.05</v>
      </c>
      <c r="I27" s="21">
        <f>SUM(B27:H27)</f>
        <v>3711191</v>
      </c>
    </row>
    <row r="28" spans="1:9" x14ac:dyDescent="0.25">
      <c r="B28" s="9"/>
      <c r="I28" s="1"/>
    </row>
    <row r="29" spans="1:9" s="7" customFormat="1" ht="13.2" x14ac:dyDescent="0.25">
      <c r="A29" s="7" t="s">
        <v>23</v>
      </c>
      <c r="I29" s="11"/>
    </row>
    <row r="31" spans="1:9" s="3" customFormat="1" ht="13.2" x14ac:dyDescent="0.25">
      <c r="A31" s="19">
        <v>18919635.5</v>
      </c>
      <c r="B31" s="20">
        <f>ROUND($A$31*B10/100,2)-0.01</f>
        <v>16516841.779999999</v>
      </c>
      <c r="C31" s="20">
        <f t="shared" ref="C31:H31" si="6">ROUND($A$31*C10/100,2)</f>
        <v>893006.8</v>
      </c>
      <c r="D31" s="20">
        <f t="shared" si="6"/>
        <v>111625.85</v>
      </c>
      <c r="E31" s="20">
        <f t="shared" si="6"/>
        <v>446503.4</v>
      </c>
      <c r="F31" s="20">
        <f t="shared" si="6"/>
        <v>595968.52</v>
      </c>
      <c r="G31" s="20">
        <f t="shared" si="6"/>
        <v>211899.92</v>
      </c>
      <c r="H31" s="20">
        <f t="shared" si="6"/>
        <v>143789.23000000001</v>
      </c>
      <c r="I31" s="21">
        <f>SUM(B31:H31)</f>
        <v>18919635.5</v>
      </c>
    </row>
    <row r="32" spans="1:9" ht="14.4" thickBot="1" x14ac:dyDescent="0.3">
      <c r="A32" s="22"/>
      <c r="B32" s="13"/>
      <c r="C32" s="22"/>
      <c r="D32" s="22"/>
      <c r="E32" s="22"/>
      <c r="F32" s="22"/>
      <c r="G32" s="22"/>
      <c r="H32" s="22"/>
      <c r="I32" s="22"/>
    </row>
    <row r="33" spans="1:9" x14ac:dyDescent="0.25">
      <c r="B33" s="9"/>
      <c r="I33" s="1"/>
    </row>
    <row r="34" spans="1:9" x14ac:dyDescent="0.25">
      <c r="B34" s="9"/>
      <c r="I34" s="1"/>
    </row>
    <row r="35" spans="1:9" x14ac:dyDescent="0.25">
      <c r="B35" s="9"/>
      <c r="I35" s="1"/>
    </row>
    <row r="36" spans="1:9" s="7" customFormat="1" ht="13.2" x14ac:dyDescent="0.25">
      <c r="A36" s="7" t="s">
        <v>25</v>
      </c>
      <c r="I36" s="11"/>
    </row>
    <row r="38" spans="1:9" s="3" customFormat="1" ht="13.2" x14ac:dyDescent="0.25">
      <c r="A38" s="19">
        <v>20377419.75</v>
      </c>
      <c r="B38" s="20">
        <f>ROUND($A$38*B10/100,2)</f>
        <v>17789487.440000001</v>
      </c>
      <c r="C38" s="20">
        <f t="shared" ref="C38:H38" si="7">ROUND($A$38*C10/100,2)</f>
        <v>961814.21</v>
      </c>
      <c r="D38" s="20">
        <f t="shared" si="7"/>
        <v>120226.78</v>
      </c>
      <c r="E38" s="20">
        <f t="shared" si="7"/>
        <v>480907.11</v>
      </c>
      <c r="F38" s="20">
        <f t="shared" si="7"/>
        <v>641888.72</v>
      </c>
      <c r="G38" s="20">
        <f t="shared" si="7"/>
        <v>228227.1</v>
      </c>
      <c r="H38" s="20">
        <f t="shared" si="7"/>
        <v>154868.39000000001</v>
      </c>
      <c r="I38" s="21">
        <f>SUM(B38:H38)</f>
        <v>20377419.750000004</v>
      </c>
    </row>
    <row r="39" spans="1:9" s="3" customFormat="1" ht="13.2" x14ac:dyDescent="0.25">
      <c r="A39" s="8"/>
      <c r="B39" s="26"/>
      <c r="C39" s="26"/>
      <c r="D39" s="26"/>
      <c r="E39" s="26"/>
      <c r="F39" s="26"/>
      <c r="G39" s="26"/>
      <c r="H39" s="26"/>
      <c r="I39" s="27"/>
    </row>
    <row r="40" spans="1:9" s="7" customFormat="1" ht="13.2" x14ac:dyDescent="0.25">
      <c r="A40" s="7" t="s">
        <v>26</v>
      </c>
      <c r="I40" s="11"/>
    </row>
    <row r="42" spans="1:9" s="3" customFormat="1" ht="13.2" x14ac:dyDescent="0.25">
      <c r="A42" s="19">
        <v>13475219.369999999</v>
      </c>
      <c r="B42" s="20">
        <f>ROUND($A$42*B10/100,2)</f>
        <v>11763866.51</v>
      </c>
      <c r="C42" s="20">
        <f t="shared" ref="C42:H42" si="8">ROUND($A$42*C10/100,2)</f>
        <v>636030.35</v>
      </c>
      <c r="D42" s="20">
        <f t="shared" si="8"/>
        <v>79503.789999999994</v>
      </c>
      <c r="E42" s="20">
        <f t="shared" si="8"/>
        <v>318015.18</v>
      </c>
      <c r="F42" s="20">
        <f t="shared" si="8"/>
        <v>424469.41</v>
      </c>
      <c r="G42" s="20">
        <f t="shared" si="8"/>
        <v>150922.46</v>
      </c>
      <c r="H42" s="20">
        <f t="shared" si="8"/>
        <v>102411.67</v>
      </c>
      <c r="I42" s="21">
        <f>SUM(B42:H42)</f>
        <v>13475219.369999999</v>
      </c>
    </row>
    <row r="43" spans="1:9" s="3" customFormat="1" ht="13.2" x14ac:dyDescent="0.25">
      <c r="A43" s="8"/>
      <c r="B43" s="26"/>
      <c r="C43" s="26"/>
      <c r="D43" s="26"/>
      <c r="E43" s="26"/>
      <c r="F43" s="26"/>
      <c r="G43" s="26"/>
      <c r="H43" s="26"/>
      <c r="I43" s="27"/>
    </row>
    <row r="44" spans="1:9" x14ac:dyDescent="0.25">
      <c r="A44" s="1" t="s">
        <v>24</v>
      </c>
      <c r="B44" s="9"/>
      <c r="I44" s="1"/>
    </row>
    <row r="45" spans="1:9" s="3" customFormat="1" ht="13.2" x14ac:dyDescent="0.25">
      <c r="A45" s="23">
        <f>A14+A18+A22+A27+A31+A38+A42</f>
        <v>90156604.49000001</v>
      </c>
      <c r="B45" s="24">
        <f>B14+B18+B22+B27+B31+B38+B42</f>
        <v>78706715.710000008</v>
      </c>
      <c r="C45" s="24">
        <f t="shared" ref="C45:H45" si="9">C14+C18+C22+C27+C31+C38+C42</f>
        <v>4255391.7299999995</v>
      </c>
      <c r="D45" s="24">
        <f t="shared" si="9"/>
        <v>531923.96000000008</v>
      </c>
      <c r="E45" s="24">
        <f t="shared" si="9"/>
        <v>2127695.87</v>
      </c>
      <c r="F45" s="24">
        <f t="shared" si="9"/>
        <v>2839933.0500000003</v>
      </c>
      <c r="G45" s="24">
        <f t="shared" si="9"/>
        <v>1009753.97</v>
      </c>
      <c r="H45" s="24">
        <f t="shared" si="9"/>
        <v>685190.20000000007</v>
      </c>
      <c r="I45" s="25">
        <f t="shared" ref="I45" si="10">I14+I18+I22+I27+I31</f>
        <v>56303965.370000005</v>
      </c>
    </row>
    <row r="46" spans="1:9" x14ac:dyDescent="0.25">
      <c r="B46" s="9"/>
      <c r="I46" s="1"/>
    </row>
    <row r="47" spans="1:9" x14ac:dyDescent="0.25">
      <c r="B47" s="9"/>
      <c r="I47" s="1"/>
    </row>
  </sheetData>
  <phoneticPr fontId="7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04A9C-1365-49C6-927F-A11AEC7C83BD}">
  <dimension ref="A1:I62"/>
  <sheetViews>
    <sheetView topLeftCell="A40" workbookViewId="0">
      <selection activeCell="H12" sqref="H12"/>
    </sheetView>
  </sheetViews>
  <sheetFormatPr defaultRowHeight="13.8" x14ac:dyDescent="0.25"/>
  <cols>
    <col min="1" max="1" width="14.33203125" style="1" customWidth="1"/>
    <col min="2" max="2" width="14.21875" style="1" customWidth="1"/>
    <col min="3" max="3" width="12.6640625" style="1" customWidth="1"/>
    <col min="4" max="4" width="11.5546875" style="1" customWidth="1"/>
    <col min="5" max="5" width="12.77734375" style="1" customWidth="1"/>
    <col min="6" max="6" width="13" style="1" customWidth="1"/>
    <col min="7" max="7" width="12.88671875" style="1" customWidth="1"/>
    <col min="8" max="8" width="11.5546875" style="1" customWidth="1"/>
    <col min="9" max="9" width="13.109375" style="9" customWidth="1"/>
    <col min="10" max="16384" width="8.88671875" style="1"/>
  </cols>
  <sheetData>
    <row r="1" spans="1:9" s="2" customFormat="1" ht="23.4" customHeight="1" x14ac:dyDescent="0.3">
      <c r="A1" s="2" t="s">
        <v>8</v>
      </c>
      <c r="I1" s="9"/>
    </row>
    <row r="3" spans="1:9" s="3" customFormat="1" ht="13.2" x14ac:dyDescent="0.25">
      <c r="A3" s="6" t="s">
        <v>0</v>
      </c>
      <c r="B3" s="5">
        <v>3001</v>
      </c>
      <c r="C3" s="5">
        <v>3003</v>
      </c>
      <c r="D3" s="5">
        <v>3009</v>
      </c>
      <c r="E3" s="5">
        <v>3013</v>
      </c>
      <c r="F3" s="5">
        <v>3022</v>
      </c>
      <c r="G3" s="5">
        <v>3025</v>
      </c>
      <c r="H3" s="5">
        <v>3028</v>
      </c>
      <c r="I3" s="10" t="s">
        <v>13</v>
      </c>
    </row>
    <row r="4" spans="1:9" s="3" customFormat="1" ht="13.2" x14ac:dyDescent="0.25">
      <c r="A4" s="6" t="s">
        <v>9</v>
      </c>
      <c r="B4" s="4" t="s">
        <v>2</v>
      </c>
      <c r="C4" s="4" t="s">
        <v>7</v>
      </c>
      <c r="D4" s="4" t="s">
        <v>1</v>
      </c>
      <c r="E4" s="4" t="s">
        <v>3</v>
      </c>
      <c r="F4" s="4" t="s">
        <v>4</v>
      </c>
      <c r="G4" s="4" t="s">
        <v>5</v>
      </c>
      <c r="H4" s="4" t="s">
        <v>6</v>
      </c>
      <c r="I4" s="10"/>
    </row>
    <row r="5" spans="1:9" s="3" customFormat="1" ht="13.2" x14ac:dyDescent="0.25">
      <c r="A5" s="6" t="s">
        <v>10</v>
      </c>
      <c r="B5" s="14">
        <f>'[1]Výměr-sumář'!$H$9</f>
        <v>87.55</v>
      </c>
      <c r="C5" s="14">
        <f>'[1]Výměr-sumář'!$H$14</f>
        <v>4.57</v>
      </c>
      <c r="D5" s="14">
        <f>'[1]Výměr-sumář'!$H$8</f>
        <v>0.56000000000000005</v>
      </c>
      <c r="E5" s="14">
        <f>'[1]Výměr-sumář'!$H$10</f>
        <v>2.27</v>
      </c>
      <c r="F5" s="14">
        <f>'[1]Výměr-sumář'!$H$11</f>
        <v>3.04</v>
      </c>
      <c r="G5" s="14">
        <f>'[1]Výměr-sumář'!$H$12</f>
        <v>1.32</v>
      </c>
      <c r="H5" s="14">
        <f>'[1]Výměr-sumář'!$H$13</f>
        <v>0.69</v>
      </c>
      <c r="I5" s="10">
        <f>SUM(B5:H5)</f>
        <v>100</v>
      </c>
    </row>
    <row r="6" spans="1:9" s="3" customFormat="1" ht="13.2" x14ac:dyDescent="0.25">
      <c r="A6" s="6" t="s">
        <v>16</v>
      </c>
      <c r="B6" s="14">
        <f>'[2]Výpočet ztráty 2016'!$J$9</f>
        <v>87.509881422924906</v>
      </c>
      <c r="C6" s="14">
        <f>'[2]Výpočet ztráty 2016'!$J$14</f>
        <v>4.6113306982872198</v>
      </c>
      <c r="D6" s="14">
        <f>'[2]Výpočet ztráty 2016'!$J$8</f>
        <v>0.55335968379446643</v>
      </c>
      <c r="E6" s="14">
        <f>'[2]Výpočet ztráty 2016'!$J$10</f>
        <v>2.2924901185770752</v>
      </c>
      <c r="F6" s="14">
        <f>'[2]Výpočet ztráty 2016'!$J$11</f>
        <v>3.0039525691699605</v>
      </c>
      <c r="G6" s="14">
        <f>'[2]Výpočet ztráty 2016'!$J$12</f>
        <v>1.3175230566534915</v>
      </c>
      <c r="H6" s="14">
        <f>'[2]Výpočet ztráty 2016'!$J$13</f>
        <v>0.71146245059288538</v>
      </c>
      <c r="I6" s="10">
        <f>SUM(B6:H6)</f>
        <v>100</v>
      </c>
    </row>
    <row r="7" spans="1:9" s="3" customFormat="1" ht="13.2" x14ac:dyDescent="0.25">
      <c r="A7" s="6" t="s">
        <v>17</v>
      </c>
      <c r="B7" s="14">
        <f>'[3]Výměr-sumář'!$I$4</f>
        <v>87.35</v>
      </c>
      <c r="C7" s="14">
        <f>'[3]Výměr-sumář'!$I$9</f>
        <v>4.5999999999999996</v>
      </c>
      <c r="D7" s="14">
        <f>'[3]Výměr-sumář'!$I$3</f>
        <v>0.55000000000000004</v>
      </c>
      <c r="E7" s="14">
        <f>'[3]Výměr-sumář'!$I$5</f>
        <v>2.3199999999999998</v>
      </c>
      <c r="F7" s="14">
        <f>'[3]Výměr-sumář'!$I$6</f>
        <v>3.05</v>
      </c>
      <c r="G7" s="14">
        <f>'[3]Výměr-sumář'!$I$7</f>
        <v>1.39</v>
      </c>
      <c r="H7" s="14">
        <f>'[3]Výměr-sumář'!$I$8</f>
        <v>0.74</v>
      </c>
      <c r="I7" s="10">
        <f>SUM(B7:H7)</f>
        <v>99.999999999999972</v>
      </c>
    </row>
    <row r="8" spans="1:9" s="3" customFormat="1" ht="13.2" x14ac:dyDescent="0.25">
      <c r="A8" s="6" t="s">
        <v>18</v>
      </c>
      <c r="B8" s="14">
        <f>'[4]dle VH 30.1.2019'!$I$4</f>
        <v>87.09</v>
      </c>
      <c r="C8" s="14">
        <f>'[4]dle VH 30.1.2019'!$I$9</f>
        <v>4.9000000000000004</v>
      </c>
      <c r="D8" s="14">
        <f>'[4]dle VH 30.1.2019'!$I$3</f>
        <v>0.65</v>
      </c>
      <c r="E8" s="14">
        <f>'[4]dle VH 30.1.2019'!$I$5</f>
        <v>2.42</v>
      </c>
      <c r="F8" s="14">
        <f>'[4]dle VH 30.1.2019'!$I$6</f>
        <v>3.29</v>
      </c>
      <c r="G8" s="14">
        <f>'[4]dle VH 30.1.2019'!$I$7</f>
        <v>0.83</v>
      </c>
      <c r="H8" s="14">
        <f>'[4]dle VH 30.1.2019'!$I$8</f>
        <v>0.82</v>
      </c>
      <c r="I8" s="10">
        <f t="shared" ref="I8:I10" si="0">SUM(B8:H8)</f>
        <v>100.00000000000001</v>
      </c>
    </row>
    <row r="9" spans="1:9" s="3" customFormat="1" ht="13.2" x14ac:dyDescent="0.25">
      <c r="A9" s="6" t="s">
        <v>19</v>
      </c>
      <c r="B9" s="14">
        <f>[5]podíly!$C$3</f>
        <v>86.96</v>
      </c>
      <c r="C9" s="14">
        <f>[5]podíly!$C$8</f>
        <v>4.93</v>
      </c>
      <c r="D9" s="14">
        <f>[5]podíly!$C$2</f>
        <v>0.65</v>
      </c>
      <c r="E9" s="14">
        <f>[5]podíly!$C$4</f>
        <v>2.48</v>
      </c>
      <c r="F9" s="14">
        <f>[5]podíly!$C$5</f>
        <v>3.39</v>
      </c>
      <c r="G9" s="14">
        <f>[5]podíly!$C$6</f>
        <v>0.75</v>
      </c>
      <c r="H9" s="14">
        <f>[5]podíly!$C$7</f>
        <v>0.84</v>
      </c>
      <c r="I9" s="10">
        <f t="shared" si="0"/>
        <v>100</v>
      </c>
    </row>
    <row r="10" spans="1:9" s="7" customFormat="1" ht="13.2" x14ac:dyDescent="0.25">
      <c r="A10" s="16" t="s">
        <v>20</v>
      </c>
      <c r="B10" s="17">
        <f>ROUND(SUM(B5:B9)/5,2)+0.01</f>
        <v>87.300000000000011</v>
      </c>
      <c r="C10" s="17">
        <f t="shared" ref="C10:H10" si="1">ROUND(SUM(C5:C9)/5,2)</f>
        <v>4.72</v>
      </c>
      <c r="D10" s="17">
        <f t="shared" si="1"/>
        <v>0.59</v>
      </c>
      <c r="E10" s="17">
        <f t="shared" si="1"/>
        <v>2.36</v>
      </c>
      <c r="F10" s="17">
        <f t="shared" si="1"/>
        <v>3.15</v>
      </c>
      <c r="G10" s="17">
        <f t="shared" si="1"/>
        <v>1.1200000000000001</v>
      </c>
      <c r="H10" s="17">
        <f t="shared" si="1"/>
        <v>0.76</v>
      </c>
      <c r="I10" s="18">
        <f t="shared" si="0"/>
        <v>100.00000000000003</v>
      </c>
    </row>
    <row r="11" spans="1:9" s="3" customFormat="1" ht="13.2" x14ac:dyDescent="0.25">
      <c r="B11" s="15"/>
      <c r="C11" s="15"/>
      <c r="D11" s="15"/>
      <c r="E11" s="15"/>
      <c r="F11" s="15"/>
      <c r="G11" s="15"/>
      <c r="H11" s="15"/>
      <c r="I11" s="9"/>
    </row>
    <row r="12" spans="1:9" s="7" customFormat="1" ht="13.2" x14ac:dyDescent="0.25">
      <c r="A12" s="7" t="s">
        <v>12</v>
      </c>
      <c r="E12" s="7" t="s">
        <v>14</v>
      </c>
      <c r="F12" s="8"/>
      <c r="I12" s="11"/>
    </row>
    <row r="13" spans="1:9" s="3" customFormat="1" ht="13.2" x14ac:dyDescent="0.25">
      <c r="A13" s="3" t="s">
        <v>11</v>
      </c>
      <c r="I13" s="9"/>
    </row>
    <row r="14" spans="1:9" s="3" customFormat="1" ht="13.2" x14ac:dyDescent="0.25">
      <c r="A14" s="19">
        <v>11065592</v>
      </c>
      <c r="B14" s="20">
        <f>ROUND($A$14*B10/100,2)</f>
        <v>9660261.8200000003</v>
      </c>
      <c r="C14" s="20">
        <f t="shared" ref="C14:H14" si="2">ROUND($A$14*C10/100,2)</f>
        <v>522295.94</v>
      </c>
      <c r="D14" s="20">
        <f t="shared" si="2"/>
        <v>65286.99</v>
      </c>
      <c r="E14" s="20">
        <f t="shared" si="2"/>
        <v>261147.97</v>
      </c>
      <c r="F14" s="20">
        <f t="shared" si="2"/>
        <v>348566.15</v>
      </c>
      <c r="G14" s="20">
        <f t="shared" si="2"/>
        <v>123934.63</v>
      </c>
      <c r="H14" s="20">
        <f t="shared" si="2"/>
        <v>84098.5</v>
      </c>
      <c r="I14" s="21">
        <f>SUM(B14:H14)</f>
        <v>11065592.000000002</v>
      </c>
    </row>
    <row r="15" spans="1:9" s="3" customFormat="1" thickBot="1" x14ac:dyDescent="0.3">
      <c r="A15" s="12"/>
      <c r="B15" s="12"/>
      <c r="C15" s="12"/>
      <c r="D15" s="12"/>
      <c r="E15" s="12"/>
      <c r="F15" s="12"/>
      <c r="G15" s="12"/>
      <c r="H15" s="12"/>
      <c r="I15" s="13"/>
    </row>
    <row r="16" spans="1:9" s="7" customFormat="1" ht="13.2" x14ac:dyDescent="0.25">
      <c r="A16" s="7" t="s">
        <v>15</v>
      </c>
      <c r="I16" s="11"/>
    </row>
    <row r="17" spans="1:9" s="3" customFormat="1" ht="13.2" x14ac:dyDescent="0.25">
      <c r="I17" s="9"/>
    </row>
    <row r="18" spans="1:9" s="3" customFormat="1" ht="13.2" x14ac:dyDescent="0.25">
      <c r="A18" s="19">
        <f>5105364-22172</f>
        <v>5083192</v>
      </c>
      <c r="B18" s="20">
        <f>ROUND($A$18*B10/100,2)</f>
        <v>4437626.62</v>
      </c>
      <c r="C18" s="20">
        <f t="shared" ref="C18:H18" si="3">ROUND($A$18*C10/100,2)</f>
        <v>239926.66</v>
      </c>
      <c r="D18" s="20">
        <f t="shared" si="3"/>
        <v>29990.83</v>
      </c>
      <c r="E18" s="20">
        <f t="shared" si="3"/>
        <v>119963.33</v>
      </c>
      <c r="F18" s="20">
        <f t="shared" si="3"/>
        <v>160120.54999999999</v>
      </c>
      <c r="G18" s="20">
        <f t="shared" si="3"/>
        <v>56931.75</v>
      </c>
      <c r="H18" s="20">
        <f t="shared" si="3"/>
        <v>38632.26</v>
      </c>
      <c r="I18" s="21">
        <f>SUM(B18:H18)</f>
        <v>5083192</v>
      </c>
    </row>
    <row r="19" spans="1:9" s="3" customFormat="1" ht="13.2" x14ac:dyDescent="0.25">
      <c r="I19" s="9"/>
    </row>
    <row r="20" spans="1:9" s="7" customFormat="1" ht="13.2" x14ac:dyDescent="0.25">
      <c r="A20" s="7" t="s">
        <v>21</v>
      </c>
      <c r="I20" s="11"/>
    </row>
    <row r="21" spans="1:9" s="3" customFormat="1" ht="13.2" x14ac:dyDescent="0.25">
      <c r="I21" s="9"/>
    </row>
    <row r="22" spans="1:9" s="3" customFormat="1" ht="13.2" x14ac:dyDescent="0.25">
      <c r="A22" s="19">
        <v>17524354.870000001</v>
      </c>
      <c r="B22" s="20">
        <f>ROUND($A$22*B10/100,2)+0.01</f>
        <v>15298761.810000001</v>
      </c>
      <c r="C22" s="20">
        <f t="shared" ref="C22:H22" si="4">ROUND($A$22*C10/100,2)</f>
        <v>827149.55</v>
      </c>
      <c r="D22" s="20">
        <f t="shared" si="4"/>
        <v>103393.69</v>
      </c>
      <c r="E22" s="20">
        <f t="shared" si="4"/>
        <v>413574.77</v>
      </c>
      <c r="F22" s="20">
        <f t="shared" si="4"/>
        <v>552017.18000000005</v>
      </c>
      <c r="G22" s="20">
        <f t="shared" si="4"/>
        <v>196272.77</v>
      </c>
      <c r="H22" s="20">
        <f t="shared" si="4"/>
        <v>133185.1</v>
      </c>
      <c r="I22" s="21">
        <f>SUM(B22:H22)</f>
        <v>17524354.870000001</v>
      </c>
    </row>
    <row r="23" spans="1:9" ht="14.4" thickBot="1" x14ac:dyDescent="0.3">
      <c r="A23" s="22"/>
      <c r="B23" s="22"/>
      <c r="C23" s="22"/>
      <c r="D23" s="22"/>
      <c r="E23" s="22"/>
      <c r="F23" s="22"/>
      <c r="G23" s="22"/>
      <c r="H23" s="22"/>
      <c r="I23" s="13"/>
    </row>
    <row r="25" spans="1:9" s="7" customFormat="1" ht="13.2" x14ac:dyDescent="0.25">
      <c r="A25" s="7" t="s">
        <v>22</v>
      </c>
      <c r="I25" s="11"/>
    </row>
    <row r="27" spans="1:9" s="3" customFormat="1" ht="13.2" x14ac:dyDescent="0.25">
      <c r="A27" s="19">
        <v>3711191</v>
      </c>
      <c r="B27" s="20">
        <f>ROUND($A$27*B10/100,2)-0.01</f>
        <v>3239869.7300000004</v>
      </c>
      <c r="C27" s="20">
        <f t="shared" ref="C27:H27" si="5">ROUND($A$27*C10/100,2)</f>
        <v>175168.22</v>
      </c>
      <c r="D27" s="20">
        <f t="shared" si="5"/>
        <v>21896.03</v>
      </c>
      <c r="E27" s="20">
        <f t="shared" si="5"/>
        <v>87584.11</v>
      </c>
      <c r="F27" s="20">
        <f t="shared" si="5"/>
        <v>116902.52</v>
      </c>
      <c r="G27" s="20">
        <f t="shared" si="5"/>
        <v>41565.339999999997</v>
      </c>
      <c r="H27" s="20">
        <f t="shared" si="5"/>
        <v>28205.05</v>
      </c>
      <c r="I27" s="21">
        <f>SUM(B27:H27)</f>
        <v>3711191</v>
      </c>
    </row>
    <row r="28" spans="1:9" x14ac:dyDescent="0.25">
      <c r="B28" s="9"/>
      <c r="I28" s="1"/>
    </row>
    <row r="29" spans="1:9" s="7" customFormat="1" ht="13.2" x14ac:dyDescent="0.25">
      <c r="A29" s="7" t="s">
        <v>23</v>
      </c>
      <c r="I29" s="11"/>
    </row>
    <row r="31" spans="1:9" s="3" customFormat="1" ht="13.2" x14ac:dyDescent="0.25">
      <c r="A31" s="19">
        <v>18919635.5</v>
      </c>
      <c r="B31" s="20">
        <f>ROUND($A$31*B10/100,2)-0.01</f>
        <v>16516841.779999999</v>
      </c>
      <c r="C31" s="20">
        <f t="shared" ref="C31:H31" si="6">ROUND($A$31*C10/100,2)</f>
        <v>893006.8</v>
      </c>
      <c r="D31" s="20">
        <f t="shared" si="6"/>
        <v>111625.85</v>
      </c>
      <c r="E31" s="20">
        <f t="shared" si="6"/>
        <v>446503.4</v>
      </c>
      <c r="F31" s="20">
        <f t="shared" si="6"/>
        <v>595968.52</v>
      </c>
      <c r="G31" s="20">
        <f t="shared" si="6"/>
        <v>211899.92</v>
      </c>
      <c r="H31" s="20">
        <f t="shared" si="6"/>
        <v>143789.23000000001</v>
      </c>
      <c r="I31" s="21">
        <f>SUM(B31:H31)</f>
        <v>18919635.5</v>
      </c>
    </row>
    <row r="32" spans="1:9" ht="14.4" thickBot="1" x14ac:dyDescent="0.3">
      <c r="A32" s="22"/>
      <c r="B32" s="13"/>
      <c r="C32" s="22"/>
      <c r="D32" s="22"/>
      <c r="E32" s="22"/>
      <c r="F32" s="22"/>
      <c r="G32" s="22"/>
      <c r="H32" s="22"/>
      <c r="I32" s="22"/>
    </row>
    <row r="33" spans="1:9" x14ac:dyDescent="0.25">
      <c r="B33" s="9"/>
      <c r="I33" s="1"/>
    </row>
    <row r="34" spans="1:9" x14ac:dyDescent="0.25">
      <c r="B34" s="9"/>
      <c r="I34" s="1"/>
    </row>
    <row r="35" spans="1:9" x14ac:dyDescent="0.25">
      <c r="B35" s="9"/>
      <c r="I35" s="1"/>
    </row>
    <row r="36" spans="1:9" s="7" customFormat="1" ht="13.2" x14ac:dyDescent="0.25">
      <c r="A36" s="7" t="s">
        <v>25</v>
      </c>
      <c r="I36" s="11"/>
    </row>
    <row r="38" spans="1:9" s="3" customFormat="1" ht="13.2" x14ac:dyDescent="0.25">
      <c r="A38" s="19">
        <v>20377419.75</v>
      </c>
      <c r="B38" s="20">
        <f>ROUND($A$38*B10/100,2)</f>
        <v>17789487.440000001</v>
      </c>
      <c r="C38" s="20">
        <f t="shared" ref="C38:H38" si="7">ROUND($A$38*C10/100,2)</f>
        <v>961814.21</v>
      </c>
      <c r="D38" s="20">
        <f t="shared" si="7"/>
        <v>120226.78</v>
      </c>
      <c r="E38" s="20">
        <f t="shared" si="7"/>
        <v>480907.11</v>
      </c>
      <c r="F38" s="20">
        <f t="shared" si="7"/>
        <v>641888.72</v>
      </c>
      <c r="G38" s="20">
        <f t="shared" si="7"/>
        <v>228227.1</v>
      </c>
      <c r="H38" s="20">
        <f t="shared" si="7"/>
        <v>154868.39000000001</v>
      </c>
      <c r="I38" s="21">
        <f>SUM(B38:H38)</f>
        <v>20377419.750000004</v>
      </c>
    </row>
    <row r="39" spans="1:9" s="3" customFormat="1" ht="13.2" x14ac:dyDescent="0.25">
      <c r="A39" s="8"/>
      <c r="B39" s="26"/>
      <c r="C39" s="26"/>
      <c r="D39" s="26"/>
      <c r="E39" s="26"/>
      <c r="F39" s="26"/>
      <c r="G39" s="26"/>
      <c r="H39" s="26"/>
      <c r="I39" s="27"/>
    </row>
    <row r="40" spans="1:9" s="7" customFormat="1" ht="13.2" x14ac:dyDescent="0.25">
      <c r="A40" s="7" t="s">
        <v>26</v>
      </c>
      <c r="I40" s="11"/>
    </row>
    <row r="42" spans="1:9" s="3" customFormat="1" ht="13.2" x14ac:dyDescent="0.25">
      <c r="A42" s="19">
        <v>13475219.369999999</v>
      </c>
      <c r="B42" s="20">
        <f>ROUND($A$42*B10/100,2)</f>
        <v>11763866.51</v>
      </c>
      <c r="C42" s="20">
        <f t="shared" ref="C42:H42" si="8">ROUND($A$42*C10/100,2)</f>
        <v>636030.35</v>
      </c>
      <c r="D42" s="20">
        <f t="shared" si="8"/>
        <v>79503.789999999994</v>
      </c>
      <c r="E42" s="20">
        <f t="shared" si="8"/>
        <v>318015.18</v>
      </c>
      <c r="F42" s="20">
        <f t="shared" si="8"/>
        <v>424469.41</v>
      </c>
      <c r="G42" s="20">
        <f t="shared" si="8"/>
        <v>150922.46</v>
      </c>
      <c r="H42" s="20">
        <f t="shared" si="8"/>
        <v>102411.67</v>
      </c>
      <c r="I42" s="21">
        <f>SUM(B42:H42)</f>
        <v>13475219.369999999</v>
      </c>
    </row>
    <row r="43" spans="1:9" s="3" customFormat="1" ht="13.2" x14ac:dyDescent="0.25">
      <c r="A43" s="8"/>
      <c r="B43" s="26"/>
      <c r="C43" s="26"/>
      <c r="D43" s="26"/>
      <c r="E43" s="26"/>
      <c r="F43" s="26"/>
      <c r="G43" s="26"/>
      <c r="H43" s="26"/>
      <c r="I43" s="27"/>
    </row>
    <row r="44" spans="1:9" x14ac:dyDescent="0.25">
      <c r="A44" s="1" t="s">
        <v>24</v>
      </c>
      <c r="B44" s="9"/>
      <c r="I44" s="1"/>
    </row>
    <row r="45" spans="1:9" s="3" customFormat="1" ht="13.2" x14ac:dyDescent="0.25">
      <c r="A45" s="23">
        <f>A14+A18+A22+A27+A31+A38+A42</f>
        <v>90156604.49000001</v>
      </c>
      <c r="B45" s="24">
        <f>B14+B18+B22+B27+B31+B38+B42</f>
        <v>78706715.710000008</v>
      </c>
      <c r="C45" s="24">
        <f t="shared" ref="C45:I45" si="9">C14+C18+C22+C27+C31+C38+C42</f>
        <v>4255391.7299999995</v>
      </c>
      <c r="D45" s="24">
        <f t="shared" si="9"/>
        <v>531923.96000000008</v>
      </c>
      <c r="E45" s="24">
        <f t="shared" si="9"/>
        <v>2127695.87</v>
      </c>
      <c r="F45" s="24">
        <f t="shared" si="9"/>
        <v>2839933.0500000003</v>
      </c>
      <c r="G45" s="24">
        <f t="shared" si="9"/>
        <v>1009753.97</v>
      </c>
      <c r="H45" s="24">
        <f t="shared" si="9"/>
        <v>685190.20000000007</v>
      </c>
      <c r="I45" s="25">
        <f t="shared" si="9"/>
        <v>90156604.49000001</v>
      </c>
    </row>
    <row r="46" spans="1:9" ht="14.4" thickBot="1" x14ac:dyDescent="0.3">
      <c r="A46" s="22"/>
      <c r="B46" s="13"/>
      <c r="C46" s="22"/>
      <c r="D46" s="22"/>
      <c r="E46" s="22"/>
      <c r="F46" s="22"/>
      <c r="G46" s="22"/>
      <c r="H46" s="22"/>
      <c r="I46" s="22"/>
    </row>
    <row r="47" spans="1:9" x14ac:dyDescent="0.25">
      <c r="B47" s="9"/>
      <c r="I47" s="1"/>
    </row>
    <row r="48" spans="1:9" x14ac:dyDescent="0.25">
      <c r="A48" s="28" t="s">
        <v>27</v>
      </c>
    </row>
    <row r="49" spans="1:9" x14ac:dyDescent="0.25">
      <c r="A49" s="29">
        <v>1414711.82</v>
      </c>
      <c r="B49" s="20">
        <f>ROUND($A$49*B10/100,2)</f>
        <v>1235043.42</v>
      </c>
      <c r="C49" s="20">
        <f t="shared" ref="C49:H49" si="10">ROUND($A$49*C10/100,2)</f>
        <v>66774.399999999994</v>
      </c>
      <c r="D49" s="20">
        <f t="shared" si="10"/>
        <v>8346.7999999999993</v>
      </c>
      <c r="E49" s="20">
        <f t="shared" si="10"/>
        <v>33387.199999999997</v>
      </c>
      <c r="F49" s="20">
        <f t="shared" si="10"/>
        <v>44563.42</v>
      </c>
      <c r="G49" s="20">
        <f t="shared" si="10"/>
        <v>15844.77</v>
      </c>
      <c r="H49" s="20">
        <f t="shared" si="10"/>
        <v>10751.81</v>
      </c>
      <c r="I49" s="21">
        <f>SUM(B49:H49)</f>
        <v>1414711.8199999998</v>
      </c>
    </row>
    <row r="51" spans="1:9" s="28" customFormat="1" x14ac:dyDescent="0.25">
      <c r="A51" s="28" t="s">
        <v>28</v>
      </c>
      <c r="I51" s="11"/>
    </row>
    <row r="52" spans="1:9" x14ac:dyDescent="0.25">
      <c r="A52" s="29">
        <v>1246739.55</v>
      </c>
      <c r="B52" s="20">
        <f>ROUND($A$52*B10/100,2)</f>
        <v>1088403.6299999999</v>
      </c>
      <c r="C52" s="20">
        <f t="shared" ref="C52:H52" si="11">ROUND($A$52*C10/100,2)</f>
        <v>58846.11</v>
      </c>
      <c r="D52" s="20">
        <f t="shared" si="11"/>
        <v>7355.76</v>
      </c>
      <c r="E52" s="20">
        <f t="shared" si="11"/>
        <v>29423.05</v>
      </c>
      <c r="F52" s="20">
        <f t="shared" si="11"/>
        <v>39272.300000000003</v>
      </c>
      <c r="G52" s="20">
        <f t="shared" si="11"/>
        <v>13963.48</v>
      </c>
      <c r="H52" s="20">
        <f t="shared" si="11"/>
        <v>9475.2199999999993</v>
      </c>
      <c r="I52" s="21">
        <f>ROUND($A$52*I10/100,2)</f>
        <v>1246739.55</v>
      </c>
    </row>
    <row r="53" spans="1:9" ht="14.4" thickBot="1" x14ac:dyDescent="0.3"/>
    <row r="54" spans="1:9" x14ac:dyDescent="0.25">
      <c r="A54" s="31" t="s">
        <v>30</v>
      </c>
      <c r="B54" s="32"/>
      <c r="C54" s="32"/>
      <c r="D54" s="32"/>
      <c r="E54" s="32"/>
      <c r="F54" s="32"/>
      <c r="G54" s="32"/>
      <c r="H54" s="32"/>
      <c r="I54" s="33"/>
    </row>
    <row r="55" spans="1:9" ht="14.4" thickBot="1" x14ac:dyDescent="0.3">
      <c r="A55" s="34">
        <f>A49+A52</f>
        <v>2661451.37</v>
      </c>
      <c r="B55" s="35">
        <f>B49+B52</f>
        <v>2323447.0499999998</v>
      </c>
      <c r="C55" s="35">
        <f t="shared" ref="C55:I55" si="12">C49+C52</f>
        <v>125620.51</v>
      </c>
      <c r="D55" s="35">
        <f t="shared" si="12"/>
        <v>15702.56</v>
      </c>
      <c r="E55" s="35">
        <f t="shared" si="12"/>
        <v>62810.25</v>
      </c>
      <c r="F55" s="35">
        <f t="shared" si="12"/>
        <v>83835.72</v>
      </c>
      <c r="G55" s="35">
        <f t="shared" si="12"/>
        <v>29808.25</v>
      </c>
      <c r="H55" s="35">
        <f t="shared" si="12"/>
        <v>20227.03</v>
      </c>
      <c r="I55" s="36">
        <f t="shared" si="12"/>
        <v>2661451.37</v>
      </c>
    </row>
    <row r="56" spans="1:9" ht="14.4" thickBot="1" x14ac:dyDescent="0.3"/>
    <row r="57" spans="1:9" x14ac:dyDescent="0.25">
      <c r="A57" s="31" t="s">
        <v>29</v>
      </c>
      <c r="B57" s="32"/>
      <c r="C57" s="32"/>
      <c r="D57" s="32"/>
      <c r="E57" s="32"/>
      <c r="F57" s="32"/>
      <c r="G57" s="32"/>
      <c r="H57" s="32"/>
      <c r="I57" s="33"/>
    </row>
    <row r="58" spans="1:9" s="30" customFormat="1" ht="14.4" thickBot="1" x14ac:dyDescent="0.3">
      <c r="A58" s="37">
        <f>A45+A49+A52</f>
        <v>92818055.859999999</v>
      </c>
      <c r="B58" s="38">
        <f t="shared" ref="B58:I58" si="13">B45+B49+B52</f>
        <v>81030162.760000005</v>
      </c>
      <c r="C58" s="38">
        <f t="shared" si="13"/>
        <v>4381012.24</v>
      </c>
      <c r="D58" s="38">
        <f t="shared" si="13"/>
        <v>547626.52000000014</v>
      </c>
      <c r="E58" s="38">
        <f t="shared" si="13"/>
        <v>2190506.12</v>
      </c>
      <c r="F58" s="38">
        <f t="shared" si="13"/>
        <v>2923768.77</v>
      </c>
      <c r="G58" s="38">
        <f t="shared" si="13"/>
        <v>1039562.22</v>
      </c>
      <c r="H58" s="38">
        <f t="shared" si="13"/>
        <v>705417.2300000001</v>
      </c>
      <c r="I58" s="39">
        <f t="shared" si="13"/>
        <v>92818055.859999999</v>
      </c>
    </row>
    <row r="62" spans="1:9" x14ac:dyDescent="0.25">
      <c r="I62" s="26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EEE0B-5CFE-46DA-ADAB-0CEFE0EE285B}">
  <dimension ref="A1:I61"/>
  <sheetViews>
    <sheetView tabSelected="1" workbookViewId="0">
      <selection activeCell="K51" sqref="K51"/>
    </sheetView>
  </sheetViews>
  <sheetFormatPr defaultRowHeight="13.8" x14ac:dyDescent="0.25"/>
  <cols>
    <col min="1" max="1" width="14.33203125" style="1" customWidth="1"/>
    <col min="2" max="2" width="14.21875" style="1" customWidth="1"/>
    <col min="3" max="3" width="12.109375" style="1" customWidth="1"/>
    <col min="4" max="4" width="10.77734375" style="1" customWidth="1"/>
    <col min="5" max="5" width="11.6640625" style="1" customWidth="1"/>
    <col min="6" max="6" width="12.21875" style="1" customWidth="1"/>
    <col min="7" max="7" width="12.88671875" style="1" customWidth="1"/>
    <col min="8" max="8" width="11.5546875" style="1" customWidth="1"/>
    <col min="9" max="9" width="13.109375" style="9" customWidth="1"/>
    <col min="10" max="16384" width="8.88671875" style="1"/>
  </cols>
  <sheetData>
    <row r="1" spans="1:9" s="2" customFormat="1" ht="23.4" customHeight="1" x14ac:dyDescent="0.3">
      <c r="A1" s="2" t="s">
        <v>8</v>
      </c>
      <c r="I1" s="9"/>
    </row>
    <row r="3" spans="1:9" s="3" customFormat="1" ht="13.2" x14ac:dyDescent="0.25">
      <c r="A3" s="6" t="s">
        <v>0</v>
      </c>
      <c r="B3" s="5">
        <v>3001</v>
      </c>
      <c r="C3" s="5">
        <v>3003</v>
      </c>
      <c r="D3" s="5">
        <v>3009</v>
      </c>
      <c r="E3" s="5">
        <v>3013</v>
      </c>
      <c r="F3" s="5">
        <v>3022</v>
      </c>
      <c r="G3" s="5">
        <v>3025</v>
      </c>
      <c r="H3" s="5">
        <v>3028</v>
      </c>
      <c r="I3" s="10" t="s">
        <v>13</v>
      </c>
    </row>
    <row r="4" spans="1:9" s="3" customFormat="1" ht="13.2" x14ac:dyDescent="0.25">
      <c r="A4" s="6" t="s">
        <v>9</v>
      </c>
      <c r="B4" s="4" t="s">
        <v>2</v>
      </c>
      <c r="C4" s="4" t="s">
        <v>7</v>
      </c>
      <c r="D4" s="4" t="s">
        <v>1</v>
      </c>
      <c r="E4" s="4" t="s">
        <v>3</v>
      </c>
      <c r="F4" s="4" t="s">
        <v>4</v>
      </c>
      <c r="G4" s="4" t="s">
        <v>5</v>
      </c>
      <c r="H4" s="4" t="s">
        <v>6</v>
      </c>
      <c r="I4" s="10"/>
    </row>
    <row r="5" spans="1:9" s="3" customFormat="1" ht="13.2" x14ac:dyDescent="0.25">
      <c r="A5" s="6" t="s">
        <v>10</v>
      </c>
      <c r="B5" s="14">
        <f>'[1]Výměr-sumář'!$H$9</f>
        <v>87.55</v>
      </c>
      <c r="C5" s="14">
        <f>'[1]Výměr-sumář'!$H$14</f>
        <v>4.57</v>
      </c>
      <c r="D5" s="14">
        <f>'[1]Výměr-sumář'!$H$8</f>
        <v>0.56000000000000005</v>
      </c>
      <c r="E5" s="14">
        <f>'[1]Výměr-sumář'!$H$10</f>
        <v>2.27</v>
      </c>
      <c r="F5" s="14">
        <f>'[1]Výměr-sumář'!$H$11</f>
        <v>3.04</v>
      </c>
      <c r="G5" s="14">
        <f>'[1]Výměr-sumář'!$H$12</f>
        <v>1.32</v>
      </c>
      <c r="H5" s="14">
        <f>'[1]Výměr-sumář'!$H$13</f>
        <v>0.69</v>
      </c>
      <c r="I5" s="10">
        <f>SUM(B5:H5)</f>
        <v>100</v>
      </c>
    </row>
    <row r="6" spans="1:9" s="3" customFormat="1" ht="13.2" x14ac:dyDescent="0.25">
      <c r="A6" s="6" t="s">
        <v>16</v>
      </c>
      <c r="B6" s="14">
        <f>'[2]Výpočet ztráty 2016'!$J$9</f>
        <v>87.509881422924906</v>
      </c>
      <c r="C6" s="14">
        <f>'[2]Výpočet ztráty 2016'!$J$14</f>
        <v>4.6113306982872198</v>
      </c>
      <c r="D6" s="14">
        <f>'[2]Výpočet ztráty 2016'!$J$8</f>
        <v>0.55335968379446643</v>
      </c>
      <c r="E6" s="14">
        <f>'[2]Výpočet ztráty 2016'!$J$10</f>
        <v>2.2924901185770752</v>
      </c>
      <c r="F6" s="14">
        <f>'[2]Výpočet ztráty 2016'!$J$11</f>
        <v>3.0039525691699605</v>
      </c>
      <c r="G6" s="14">
        <f>'[2]Výpočet ztráty 2016'!$J$12</f>
        <v>1.3175230566534915</v>
      </c>
      <c r="H6" s="14">
        <f>'[2]Výpočet ztráty 2016'!$J$13</f>
        <v>0.71146245059288538</v>
      </c>
      <c r="I6" s="10">
        <f>SUM(B6:H6)</f>
        <v>100</v>
      </c>
    </row>
    <row r="7" spans="1:9" s="3" customFormat="1" ht="13.2" x14ac:dyDescent="0.25">
      <c r="A7" s="6" t="s">
        <v>17</v>
      </c>
      <c r="B7" s="14">
        <f>'[3]Výměr-sumář'!$I$4</f>
        <v>87.35</v>
      </c>
      <c r="C7" s="14">
        <f>'[3]Výměr-sumář'!$I$9</f>
        <v>4.5999999999999996</v>
      </c>
      <c r="D7" s="14">
        <f>'[3]Výměr-sumář'!$I$3</f>
        <v>0.55000000000000004</v>
      </c>
      <c r="E7" s="14">
        <f>'[3]Výměr-sumář'!$I$5</f>
        <v>2.3199999999999998</v>
      </c>
      <c r="F7" s="14">
        <f>'[3]Výměr-sumář'!$I$6</f>
        <v>3.05</v>
      </c>
      <c r="G7" s="14">
        <f>'[3]Výměr-sumář'!$I$7</f>
        <v>1.39</v>
      </c>
      <c r="H7" s="14">
        <f>'[3]Výměr-sumář'!$I$8</f>
        <v>0.74</v>
      </c>
      <c r="I7" s="10">
        <f>SUM(B7:H7)</f>
        <v>99.999999999999972</v>
      </c>
    </row>
    <row r="8" spans="1:9" s="3" customFormat="1" ht="13.2" x14ac:dyDescent="0.25">
      <c r="A8" s="6" t="s">
        <v>18</v>
      </c>
      <c r="B8" s="14">
        <f>'[4]dle VH 30.1.2019'!$I$4</f>
        <v>87.09</v>
      </c>
      <c r="C8" s="14">
        <f>'[4]dle VH 30.1.2019'!$I$9</f>
        <v>4.9000000000000004</v>
      </c>
      <c r="D8" s="14">
        <f>'[4]dle VH 30.1.2019'!$I$3</f>
        <v>0.65</v>
      </c>
      <c r="E8" s="14">
        <f>'[4]dle VH 30.1.2019'!$I$5</f>
        <v>2.42</v>
      </c>
      <c r="F8" s="14">
        <f>'[4]dle VH 30.1.2019'!$I$6</f>
        <v>3.29</v>
      </c>
      <c r="G8" s="14">
        <f>'[4]dle VH 30.1.2019'!$I$7</f>
        <v>0.83</v>
      </c>
      <c r="H8" s="14">
        <f>'[4]dle VH 30.1.2019'!$I$8</f>
        <v>0.82</v>
      </c>
      <c r="I8" s="10">
        <f t="shared" ref="I8:I10" si="0">SUM(B8:H8)</f>
        <v>100.00000000000001</v>
      </c>
    </row>
    <row r="9" spans="1:9" s="3" customFormat="1" ht="13.2" x14ac:dyDescent="0.25">
      <c r="A9" s="6" t="s">
        <v>19</v>
      </c>
      <c r="B9" s="14">
        <f>[5]podíly!$C$3</f>
        <v>86.96</v>
      </c>
      <c r="C9" s="14">
        <f>[5]podíly!$C$8</f>
        <v>4.93</v>
      </c>
      <c r="D9" s="14">
        <f>[5]podíly!$C$2</f>
        <v>0.65</v>
      </c>
      <c r="E9" s="14">
        <f>[5]podíly!$C$4</f>
        <v>2.48</v>
      </c>
      <c r="F9" s="14">
        <f>[5]podíly!$C$5</f>
        <v>3.39</v>
      </c>
      <c r="G9" s="14">
        <f>[5]podíly!$C$6</f>
        <v>0.75</v>
      </c>
      <c r="H9" s="14">
        <f>[5]podíly!$C$7</f>
        <v>0.84</v>
      </c>
      <c r="I9" s="10">
        <f t="shared" si="0"/>
        <v>100</v>
      </c>
    </row>
    <row r="10" spans="1:9" s="7" customFormat="1" ht="13.2" x14ac:dyDescent="0.25">
      <c r="A10" s="16" t="s">
        <v>20</v>
      </c>
      <c r="B10" s="17">
        <f>ROUND(SUM(B5:B9)/5,2)+0.01</f>
        <v>87.300000000000011</v>
      </c>
      <c r="C10" s="17">
        <f t="shared" ref="C10:H10" si="1">ROUND(SUM(C5:C9)/5,2)</f>
        <v>4.72</v>
      </c>
      <c r="D10" s="17">
        <f t="shared" si="1"/>
        <v>0.59</v>
      </c>
      <c r="E10" s="17">
        <f t="shared" si="1"/>
        <v>2.36</v>
      </c>
      <c r="F10" s="17">
        <f t="shared" si="1"/>
        <v>3.15</v>
      </c>
      <c r="G10" s="17">
        <f t="shared" si="1"/>
        <v>1.1200000000000001</v>
      </c>
      <c r="H10" s="17">
        <f t="shared" si="1"/>
        <v>0.76</v>
      </c>
      <c r="I10" s="18">
        <f t="shared" si="0"/>
        <v>100.00000000000003</v>
      </c>
    </row>
    <row r="11" spans="1:9" s="3" customFormat="1" ht="13.2" x14ac:dyDescent="0.25">
      <c r="A11" s="3" t="s">
        <v>43</v>
      </c>
      <c r="B11" s="45">
        <f>SUM(C10:H10)</f>
        <v>12.700000000000001</v>
      </c>
      <c r="C11" s="15">
        <f>C10/B11*100</f>
        <v>37.165354330708652</v>
      </c>
      <c r="D11" s="15">
        <f>D10/B11*100</f>
        <v>4.6456692913385815</v>
      </c>
      <c r="E11" s="15">
        <f>E10/B11*100</f>
        <v>18.582677165354326</v>
      </c>
      <c r="F11" s="15">
        <f>F10/B11*100</f>
        <v>24.803149606299211</v>
      </c>
      <c r="G11" s="15">
        <f>G10/B11*100</f>
        <v>8.8188976377952759</v>
      </c>
      <c r="H11" s="15">
        <f>H10/B11*100</f>
        <v>5.9842519685039361</v>
      </c>
      <c r="I11" s="44">
        <f>SUM(C11:H11)</f>
        <v>99.999999999999986</v>
      </c>
    </row>
    <row r="12" spans="1:9" s="7" customFormat="1" ht="13.2" x14ac:dyDescent="0.25">
      <c r="A12" s="7" t="s">
        <v>31</v>
      </c>
      <c r="E12" s="7" t="s">
        <v>14</v>
      </c>
      <c r="F12" s="8"/>
      <c r="I12" s="11"/>
    </row>
    <row r="13" spans="1:9" s="3" customFormat="1" ht="13.2" x14ac:dyDescent="0.25">
      <c r="A13" s="3" t="s">
        <v>11</v>
      </c>
      <c r="I13" s="9"/>
    </row>
    <row r="14" spans="1:9" s="3" customFormat="1" ht="13.2" x14ac:dyDescent="0.25">
      <c r="A14" s="19">
        <v>0</v>
      </c>
      <c r="B14" s="20">
        <f>ROUND($A$14*B10/100,2)</f>
        <v>0</v>
      </c>
      <c r="C14" s="20">
        <f t="shared" ref="C14:H14" si="2">ROUND($A$14*C10/100,2)</f>
        <v>0</v>
      </c>
      <c r="D14" s="20">
        <f t="shared" si="2"/>
        <v>0</v>
      </c>
      <c r="E14" s="20">
        <f t="shared" si="2"/>
        <v>0</v>
      </c>
      <c r="F14" s="20">
        <f t="shared" si="2"/>
        <v>0</v>
      </c>
      <c r="G14" s="20">
        <f t="shared" si="2"/>
        <v>0</v>
      </c>
      <c r="H14" s="20">
        <f t="shared" si="2"/>
        <v>0</v>
      </c>
      <c r="I14" s="21">
        <f>SUM(B14:H14)</f>
        <v>0</v>
      </c>
    </row>
    <row r="15" spans="1:9" s="3" customFormat="1" thickBot="1" x14ac:dyDescent="0.3">
      <c r="A15" s="12"/>
      <c r="B15" s="12"/>
      <c r="C15" s="12"/>
      <c r="D15" s="12"/>
      <c r="E15" s="12"/>
      <c r="F15" s="12"/>
      <c r="G15" s="12"/>
      <c r="H15" s="12"/>
      <c r="I15" s="13"/>
    </row>
    <row r="16" spans="1:9" s="7" customFormat="1" ht="13.2" x14ac:dyDescent="0.25">
      <c r="A16" s="7" t="s">
        <v>32</v>
      </c>
      <c r="D16" s="7" t="s">
        <v>36</v>
      </c>
      <c r="I16" s="11"/>
    </row>
    <row r="17" spans="1:9" s="3" customFormat="1" ht="13.2" x14ac:dyDescent="0.25">
      <c r="I17" s="9"/>
    </row>
    <row r="18" spans="1:9" s="3" customFormat="1" ht="13.2" x14ac:dyDescent="0.25">
      <c r="A18" s="19">
        <v>4538478.01</v>
      </c>
      <c r="B18" s="20">
        <f>ROUND($A$18*B10/100,2)+0.01</f>
        <v>3962091.3099999996</v>
      </c>
      <c r="C18" s="20">
        <f t="shared" ref="C18:H18" si="3">ROUND($A$18*C10/100,2)</f>
        <v>214216.16</v>
      </c>
      <c r="D18" s="20">
        <f t="shared" si="3"/>
        <v>26777.02</v>
      </c>
      <c r="E18" s="20">
        <f t="shared" si="3"/>
        <v>107108.08</v>
      </c>
      <c r="F18" s="20">
        <f t="shared" si="3"/>
        <v>142962.06</v>
      </c>
      <c r="G18" s="20">
        <f t="shared" si="3"/>
        <v>50830.95</v>
      </c>
      <c r="H18" s="20">
        <f t="shared" si="3"/>
        <v>34492.43</v>
      </c>
      <c r="I18" s="21">
        <f>SUM(B18:H18)</f>
        <v>4538478.0099999988</v>
      </c>
    </row>
    <row r="19" spans="1:9" s="3" customFormat="1" ht="13.2" x14ac:dyDescent="0.25">
      <c r="I19" s="9"/>
    </row>
    <row r="20" spans="1:9" ht="14.4" thickBot="1" x14ac:dyDescent="0.3">
      <c r="A20" s="22"/>
      <c r="B20" s="22"/>
      <c r="C20" s="22"/>
      <c r="D20" s="22"/>
      <c r="E20" s="22"/>
      <c r="F20" s="22"/>
      <c r="G20" s="22"/>
      <c r="H20" s="22"/>
      <c r="I20" s="13"/>
    </row>
    <row r="22" spans="1:9" s="7" customFormat="1" ht="13.2" x14ac:dyDescent="0.25">
      <c r="A22" s="7" t="s">
        <v>33</v>
      </c>
      <c r="D22" s="7" t="s">
        <v>37</v>
      </c>
      <c r="I22" s="11"/>
    </row>
    <row r="24" spans="1:9" s="3" customFormat="1" ht="13.2" x14ac:dyDescent="0.25">
      <c r="A24" s="19">
        <v>4527168.72</v>
      </c>
      <c r="B24" s="20">
        <f>ROUND($A$24*B10/100,2)+0.01</f>
        <v>3952218.3</v>
      </c>
      <c r="C24" s="20">
        <f t="shared" ref="C24:H24" si="4">ROUND($A$24*C10/100,2)</f>
        <v>213682.36</v>
      </c>
      <c r="D24" s="20">
        <f t="shared" si="4"/>
        <v>26710.3</v>
      </c>
      <c r="E24" s="20">
        <f t="shared" si="4"/>
        <v>106841.18</v>
      </c>
      <c r="F24" s="20">
        <f t="shared" si="4"/>
        <v>142605.81</v>
      </c>
      <c r="G24" s="20">
        <f t="shared" si="4"/>
        <v>50704.29</v>
      </c>
      <c r="H24" s="20">
        <f t="shared" si="4"/>
        <v>34406.480000000003</v>
      </c>
      <c r="I24" s="21">
        <f>SUM(B24:H24)</f>
        <v>4527168.72</v>
      </c>
    </row>
    <row r="25" spans="1:9" x14ac:dyDescent="0.25">
      <c r="B25" s="9"/>
      <c r="I25" s="1"/>
    </row>
    <row r="26" spans="1:9" ht="14.4" thickBot="1" x14ac:dyDescent="0.3">
      <c r="A26" s="22"/>
      <c r="B26" s="13"/>
      <c r="C26" s="22"/>
      <c r="D26" s="22"/>
      <c r="E26" s="22"/>
      <c r="F26" s="22"/>
      <c r="G26" s="22"/>
      <c r="H26" s="22"/>
      <c r="I26" s="22"/>
    </row>
    <row r="27" spans="1:9" x14ac:dyDescent="0.25">
      <c r="B27" s="9"/>
      <c r="I27" s="1"/>
    </row>
    <row r="28" spans="1:9" s="7" customFormat="1" ht="13.2" x14ac:dyDescent="0.25">
      <c r="A28" s="7" t="s">
        <v>34</v>
      </c>
      <c r="D28" s="7" t="s">
        <v>38</v>
      </c>
      <c r="I28" s="11"/>
    </row>
    <row r="30" spans="1:9" s="3" customFormat="1" ht="13.2" x14ac:dyDescent="0.25">
      <c r="A30" s="19">
        <v>5716964.1500000004</v>
      </c>
      <c r="B30" s="20">
        <f>ROUND($A$30*B10/100,2)</f>
        <v>4990909.7</v>
      </c>
      <c r="C30" s="20">
        <f>ROUND($A$30*C10/100,2)</f>
        <v>269840.71000000002</v>
      </c>
      <c r="D30" s="20">
        <f>ROUND($A$30*D10/100,2)</f>
        <v>33730.089999999997</v>
      </c>
      <c r="E30" s="20">
        <f>ROUND($A$30*E10/100,2)</f>
        <v>134920.35</v>
      </c>
      <c r="F30" s="20">
        <f>ROUND($A$30*F10/100,2)</f>
        <v>180084.37</v>
      </c>
      <c r="G30" s="20">
        <f>ROUND($A$30*G10/100,2)</f>
        <v>64030</v>
      </c>
      <c r="H30" s="20">
        <f>ROUND($A$30*H10/100,2)</f>
        <v>43448.93</v>
      </c>
      <c r="I30" s="21">
        <f>SUM(B30:H30)</f>
        <v>5716964.1499999994</v>
      </c>
    </row>
    <row r="31" spans="1:9" s="3" customFormat="1" ht="13.2" x14ac:dyDescent="0.25">
      <c r="A31" s="8"/>
      <c r="B31" s="26"/>
      <c r="C31" s="26"/>
      <c r="D31" s="26"/>
      <c r="E31" s="26"/>
      <c r="F31" s="26"/>
      <c r="G31" s="26"/>
      <c r="H31" s="26"/>
      <c r="I31" s="27"/>
    </row>
    <row r="32" spans="1:9" s="3" customFormat="1" thickBot="1" x14ac:dyDescent="0.3">
      <c r="A32" s="40"/>
      <c r="B32" s="41"/>
      <c r="C32" s="41"/>
      <c r="D32" s="41"/>
      <c r="E32" s="41"/>
      <c r="F32" s="41"/>
      <c r="G32" s="41"/>
      <c r="H32" s="41"/>
      <c r="I32" s="42"/>
    </row>
    <row r="33" spans="1:9" x14ac:dyDescent="0.25">
      <c r="B33" s="9"/>
      <c r="I33" s="1"/>
    </row>
    <row r="34" spans="1:9" x14ac:dyDescent="0.25">
      <c r="A34" s="7" t="s">
        <v>35</v>
      </c>
      <c r="D34" s="7" t="s">
        <v>38</v>
      </c>
    </row>
    <row r="35" spans="1:9" x14ac:dyDescent="0.25">
      <c r="A35" s="28"/>
    </row>
    <row r="36" spans="1:9" x14ac:dyDescent="0.25">
      <c r="A36" s="29">
        <v>392291.72</v>
      </c>
      <c r="B36" s="20">
        <f>ROUND($A$36*B10/100,2)</f>
        <v>342470.67</v>
      </c>
      <c r="C36" s="20">
        <f>ROUND($A$36*C10/100,2)</f>
        <v>18516.169999999998</v>
      </c>
      <c r="D36" s="20">
        <f>ROUND($A$36*D10/100,2)</f>
        <v>2314.52</v>
      </c>
      <c r="E36" s="20">
        <f>ROUND($A$36*E10/100,2)</f>
        <v>9258.08</v>
      </c>
      <c r="F36" s="20">
        <f>ROUND($A$36*F10/100,2)</f>
        <v>12357.19</v>
      </c>
      <c r="G36" s="20">
        <f>ROUND($A$36*G10/100,2)</f>
        <v>4393.67</v>
      </c>
      <c r="H36" s="20">
        <f>ROUND($A$36*H10/100,2)</f>
        <v>2981.42</v>
      </c>
      <c r="I36" s="21">
        <f>SUM(B36:H36)</f>
        <v>392291.72</v>
      </c>
    </row>
    <row r="38" spans="1:9" ht="14.4" thickBot="1" x14ac:dyDescent="0.3">
      <c r="A38" s="22"/>
      <c r="B38" s="22"/>
      <c r="C38" s="22"/>
      <c r="D38" s="22"/>
      <c r="E38" s="22"/>
      <c r="F38" s="22"/>
      <c r="G38" s="22"/>
      <c r="H38" s="22"/>
      <c r="I38" s="13"/>
    </row>
    <row r="39" spans="1:9" ht="14.4" thickBot="1" x14ac:dyDescent="0.3"/>
    <row r="40" spans="1:9" x14ac:dyDescent="0.25">
      <c r="A40" s="31" t="s">
        <v>29</v>
      </c>
      <c r="B40" s="32"/>
      <c r="C40" s="32"/>
      <c r="D40" s="32"/>
      <c r="E40" s="32"/>
      <c r="F40" s="32"/>
      <c r="G40" s="32"/>
      <c r="H40" s="32"/>
      <c r="I40" s="33"/>
    </row>
    <row r="41" spans="1:9" s="30" customFormat="1" ht="14.4" thickBot="1" x14ac:dyDescent="0.3">
      <c r="A41" s="37">
        <f>A18+A24+A30+A36</f>
        <v>15174902.600000001</v>
      </c>
      <c r="B41" s="37">
        <f t="shared" ref="B41:I41" si="5">B18+B24+B30+B36</f>
        <v>13247689.979999999</v>
      </c>
      <c r="C41" s="37">
        <f t="shared" si="5"/>
        <v>716255.4</v>
      </c>
      <c r="D41" s="37">
        <f t="shared" si="5"/>
        <v>89531.930000000008</v>
      </c>
      <c r="E41" s="37">
        <f t="shared" si="5"/>
        <v>358127.69</v>
      </c>
      <c r="F41" s="37">
        <f t="shared" si="5"/>
        <v>478009.43</v>
      </c>
      <c r="G41" s="37">
        <f t="shared" si="5"/>
        <v>169958.91</v>
      </c>
      <c r="H41" s="37">
        <f t="shared" si="5"/>
        <v>115329.26</v>
      </c>
      <c r="I41" s="39">
        <f t="shared" si="5"/>
        <v>15174902.6</v>
      </c>
    </row>
    <row r="43" spans="1:9" x14ac:dyDescent="0.25">
      <c r="A43" s="1" t="s">
        <v>39</v>
      </c>
    </row>
    <row r="44" spans="1:9" x14ac:dyDescent="0.25">
      <c r="A44" s="1" t="s">
        <v>40</v>
      </c>
    </row>
    <row r="45" spans="1:9" x14ac:dyDescent="0.25">
      <c r="A45" s="46">
        <v>6608646.71</v>
      </c>
      <c r="B45" s="47">
        <f>ROUND($A$45*B10/100,2)+0.01</f>
        <v>5769348.5899999999</v>
      </c>
      <c r="C45" s="47">
        <f t="shared" ref="C45:H45" si="6">ROUND($A$45*C10/100,2)</f>
        <v>311928.12</v>
      </c>
      <c r="D45" s="47">
        <f t="shared" si="6"/>
        <v>38991.019999999997</v>
      </c>
      <c r="E45" s="47">
        <f t="shared" si="6"/>
        <v>155964.06</v>
      </c>
      <c r="F45" s="47">
        <f t="shared" si="6"/>
        <v>208172.37</v>
      </c>
      <c r="G45" s="47">
        <f t="shared" si="6"/>
        <v>74016.84</v>
      </c>
      <c r="H45" s="47">
        <f t="shared" si="6"/>
        <v>50225.71</v>
      </c>
      <c r="I45" s="48">
        <f>SUM(B45:H45)</f>
        <v>6608646.709999999</v>
      </c>
    </row>
    <row r="47" spans="1:9" ht="14.4" thickBot="1" x14ac:dyDescent="0.3">
      <c r="A47" s="1" t="s">
        <v>41</v>
      </c>
    </row>
    <row r="48" spans="1:9" ht="14.4" thickBot="1" x14ac:dyDescent="0.3">
      <c r="A48" s="30">
        <f>A41-A45</f>
        <v>8566255.8900000006</v>
      </c>
      <c r="B48" s="51">
        <f>B41-B45</f>
        <v>7478341.3899999987</v>
      </c>
      <c r="C48" s="43">
        <f>C41-C45</f>
        <v>404327.28</v>
      </c>
      <c r="D48" s="43">
        <f>D41-D45</f>
        <v>50540.910000000011</v>
      </c>
      <c r="E48" s="43">
        <f>E41-E45</f>
        <v>202163.63</v>
      </c>
      <c r="F48" s="43">
        <f>F41-F45</f>
        <v>269837.06</v>
      </c>
      <c r="G48" s="43">
        <f>G41-G45</f>
        <v>95942.07</v>
      </c>
      <c r="H48" s="43">
        <f>H41-H45</f>
        <v>65103.549999999996</v>
      </c>
      <c r="I48" s="30">
        <f>I41-I45</f>
        <v>8566255.8900000006</v>
      </c>
    </row>
    <row r="49" spans="1:9" x14ac:dyDescent="0.25">
      <c r="H49" s="52" t="s">
        <v>51</v>
      </c>
      <c r="I49" s="53">
        <f>SUM(C48:H48)</f>
        <v>1087914.5000000002</v>
      </c>
    </row>
    <row r="50" spans="1:9" x14ac:dyDescent="0.25">
      <c r="A50" s="1" t="s">
        <v>50</v>
      </c>
    </row>
    <row r="51" spans="1:9" x14ac:dyDescent="0.25">
      <c r="A51" s="30">
        <v>12486695.67</v>
      </c>
    </row>
    <row r="52" spans="1:9" x14ac:dyDescent="0.25">
      <c r="A52" s="30" t="s">
        <v>42</v>
      </c>
    </row>
    <row r="53" spans="1:9" x14ac:dyDescent="0.25">
      <c r="A53" s="30">
        <f>A51-A45</f>
        <v>5878048.96</v>
      </c>
      <c r="C53" s="49">
        <f>ROUND($A$53*C11/100,2)</f>
        <v>2184597.7200000002</v>
      </c>
      <c r="D53" s="49">
        <f t="shared" ref="D53:H53" si="7">ROUND($A$53*D11/100,2)</f>
        <v>273074.71999999997</v>
      </c>
      <c r="E53" s="49">
        <f t="shared" si="7"/>
        <v>1092298.8600000001</v>
      </c>
      <c r="F53" s="49">
        <f t="shared" si="7"/>
        <v>1457941.28</v>
      </c>
      <c r="G53" s="49">
        <f t="shared" si="7"/>
        <v>518379.12</v>
      </c>
      <c r="H53" s="49">
        <f t="shared" si="7"/>
        <v>351757.26</v>
      </c>
      <c r="I53" s="50">
        <f>SUM(B53:H53)</f>
        <v>5878048.9600000009</v>
      </c>
    </row>
    <row r="55" spans="1:9" x14ac:dyDescent="0.25">
      <c r="A55" s="1" t="s">
        <v>44</v>
      </c>
    </row>
    <row r="56" spans="1:9" x14ac:dyDescent="0.25">
      <c r="A56" s="1" t="s">
        <v>45</v>
      </c>
    </row>
    <row r="57" spans="1:9" x14ac:dyDescent="0.25">
      <c r="A57" s="1" t="s">
        <v>46</v>
      </c>
    </row>
    <row r="58" spans="1:9" x14ac:dyDescent="0.25">
      <c r="A58" s="1" t="s">
        <v>47</v>
      </c>
    </row>
    <row r="60" spans="1:9" x14ac:dyDescent="0.25">
      <c r="A60" s="1" t="s">
        <v>48</v>
      </c>
    </row>
    <row r="61" spans="1:9" x14ac:dyDescent="0.25">
      <c r="A61" s="1" t="s">
        <v>49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31.12.2023</vt:lpstr>
      <vt:lpstr>smír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Kočová</dc:creator>
  <cp:lastModifiedBy>Kočová Helena, Ing.</cp:lastModifiedBy>
  <cp:lastPrinted>2024-01-11T10:07:29Z</cp:lastPrinted>
  <dcterms:created xsi:type="dcterms:W3CDTF">2022-03-09T11:40:58Z</dcterms:created>
  <dcterms:modified xsi:type="dcterms:W3CDTF">2025-02-20T12:08:34Z</dcterms:modified>
</cp:coreProperties>
</file>