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Zastupitelstvo-podklady\ZO_27_2_2024\"/>
    </mc:Choice>
  </mc:AlternateContent>
  <bookViews>
    <workbookView xWindow="0" yWindow="0" windowWidth="11670" windowHeight="4740" activeTab="4"/>
  </bookViews>
  <sheets>
    <sheet name="2020" sheetId="1" r:id="rId1"/>
    <sheet name="2021" sheetId="2" r:id="rId2"/>
    <sheet name="2022" sheetId="3" r:id="rId3"/>
    <sheet name="2023" sheetId="4" r:id="rId4"/>
    <sheet name="2023_konečný součet" sheetId="6" r:id="rId5"/>
    <sheet name="Kalkulace odpadů 2022_2023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6" l="1"/>
  <c r="N22" i="6"/>
  <c r="N20" i="6"/>
  <c r="N21" i="6"/>
  <c r="N19" i="6"/>
  <c r="K12" i="6"/>
  <c r="M10" i="6" l="1"/>
  <c r="K10" i="6"/>
  <c r="I10" i="6"/>
  <c r="G10" i="6"/>
  <c r="E10" i="6"/>
  <c r="D21" i="6"/>
  <c r="T10" i="6"/>
  <c r="C10" i="6"/>
  <c r="D12" i="6" l="1"/>
  <c r="D25" i="6"/>
  <c r="V25" i="3"/>
  <c r="T12" i="3"/>
  <c r="O16" i="3"/>
  <c r="O14" i="3"/>
  <c r="M11" i="3"/>
  <c r="K11" i="3"/>
  <c r="I11" i="3"/>
  <c r="G11" i="3"/>
  <c r="E11" i="3"/>
  <c r="C11" i="3"/>
  <c r="D21" i="3" l="1"/>
  <c r="D12" i="3"/>
  <c r="V10" i="4" l="1"/>
  <c r="T10" i="4"/>
  <c r="V10" i="3" l="1"/>
  <c r="T10" i="3"/>
  <c r="D10" i="5"/>
  <c r="H10" i="5" s="1"/>
  <c r="C10" i="5"/>
  <c r="D9" i="5"/>
  <c r="H9" i="5" s="1"/>
  <c r="C9" i="5"/>
  <c r="D8" i="5"/>
  <c r="H8" i="5" s="1"/>
  <c r="C8" i="5"/>
  <c r="D7" i="5"/>
  <c r="H7" i="5" s="1"/>
  <c r="C7" i="5"/>
  <c r="D6" i="5"/>
  <c r="H6" i="5" s="1"/>
  <c r="C6" i="5"/>
  <c r="D5" i="5"/>
  <c r="D11" i="5" s="1"/>
  <c r="C5" i="5"/>
  <c r="M10" i="4"/>
  <c r="D12" i="4"/>
  <c r="K10" i="4"/>
  <c r="I10" i="4"/>
  <c r="G10" i="4"/>
  <c r="E10" i="4"/>
  <c r="C10" i="4"/>
  <c r="D21" i="4"/>
  <c r="G5" i="5" l="1"/>
  <c r="G6" i="5"/>
  <c r="G7" i="5"/>
  <c r="G8" i="5"/>
  <c r="G9" i="5"/>
  <c r="G10" i="5"/>
  <c r="H5" i="5"/>
  <c r="H11" i="5" s="1"/>
  <c r="D25" i="4"/>
  <c r="G11" i="5" l="1"/>
  <c r="H13" i="5" s="1"/>
  <c r="G15" i="5" s="1"/>
  <c r="H15" i="5" s="1"/>
  <c r="M14" i="2" l="1"/>
  <c r="M14" i="3"/>
  <c r="M16" i="3" s="1"/>
  <c r="M10" i="3"/>
  <c r="K10" i="3"/>
  <c r="I10" i="3"/>
  <c r="G10" i="3"/>
  <c r="E10" i="3"/>
  <c r="C10" i="3"/>
  <c r="D25" i="3" l="1"/>
  <c r="D21" i="2" l="1"/>
  <c r="D25" i="2" s="1"/>
  <c r="M10" i="2"/>
  <c r="K10" i="2"/>
  <c r="I10" i="2"/>
  <c r="G10" i="2"/>
  <c r="E10" i="2"/>
  <c r="C10" i="2"/>
  <c r="D19" i="1" l="1"/>
  <c r="D23" i="1" s="1"/>
  <c r="A34" i="1" l="1"/>
</calcChain>
</file>

<file path=xl/sharedStrings.xml><?xml version="1.0" encoding="utf-8"?>
<sst xmlns="http://schemas.openxmlformats.org/spreadsheetml/2006/main" count="308" uniqueCount="86">
  <si>
    <t>Papír</t>
  </si>
  <si>
    <t>Sklo</t>
  </si>
  <si>
    <t>Plast</t>
  </si>
  <si>
    <t>Komunální odpad</t>
  </si>
  <si>
    <t>Objemný odpad</t>
  </si>
  <si>
    <t>BNRO</t>
  </si>
  <si>
    <t>množství (t)</t>
  </si>
  <si>
    <t>cena(Kč)</t>
  </si>
  <si>
    <t>BR0 (hnědé kontejnery)</t>
  </si>
  <si>
    <t>Textil</t>
  </si>
  <si>
    <t>Elektro</t>
  </si>
  <si>
    <t>Jedlé oleje</t>
  </si>
  <si>
    <t>Odpady 2020</t>
  </si>
  <si>
    <t>Výdaje</t>
  </si>
  <si>
    <t>Příjmy</t>
  </si>
  <si>
    <t>Ostatní</t>
  </si>
  <si>
    <t>Sběrný dvůr</t>
  </si>
  <si>
    <t>Vývoz kontejneru (Kč)</t>
  </si>
  <si>
    <t>Výdaje celkem</t>
  </si>
  <si>
    <t>Příjmy celkem</t>
  </si>
  <si>
    <t>Rozdíl</t>
  </si>
  <si>
    <t>množství (L)</t>
  </si>
  <si>
    <t>Ztráta</t>
  </si>
  <si>
    <t>Poplatek za komunální odpad (Kč)</t>
  </si>
  <si>
    <t>Železo + OSVČ (Kč)</t>
  </si>
  <si>
    <t>Ekokom (Kč)</t>
  </si>
  <si>
    <t xml:space="preserve">odpad </t>
  </si>
  <si>
    <t xml:space="preserve">množství </t>
  </si>
  <si>
    <t>cena</t>
  </si>
  <si>
    <t>Odpady 2021</t>
  </si>
  <si>
    <t>Poplatek za komunální odpad 680 kč/rok 2022</t>
  </si>
  <si>
    <t>Odpady 2022</t>
  </si>
  <si>
    <t>Množství odpadů celkem 2021</t>
  </si>
  <si>
    <t>Přebytek</t>
  </si>
  <si>
    <t>Odpady 2023 Predikce</t>
  </si>
  <si>
    <t>4500 Kč/t</t>
  </si>
  <si>
    <t>865 Kč/t</t>
  </si>
  <si>
    <t>9850 Kč/t</t>
  </si>
  <si>
    <t>2350 Kč/t</t>
  </si>
  <si>
    <t>2500 Kč/t</t>
  </si>
  <si>
    <t>2635 Kč/t</t>
  </si>
  <si>
    <t>3900 Kč/t</t>
  </si>
  <si>
    <t>765 Kč/t</t>
  </si>
  <si>
    <t>8190 Kč/t</t>
  </si>
  <si>
    <t>1950 Kč/t</t>
  </si>
  <si>
    <t>2100 Kč/t</t>
  </si>
  <si>
    <t>2300 Kč/t</t>
  </si>
  <si>
    <t>tun</t>
  </si>
  <si>
    <t>Barvy, lepidla</t>
  </si>
  <si>
    <t>Oleje, tuky</t>
  </si>
  <si>
    <t>11000Kč/t</t>
  </si>
  <si>
    <t>1100 Kč/t</t>
  </si>
  <si>
    <t>cena (Kč)</t>
  </si>
  <si>
    <t>Odpady 2022/2023</t>
  </si>
  <si>
    <t>Cena za tunu</t>
  </si>
  <si>
    <t>Cena v Kč</t>
  </si>
  <si>
    <t>Leden až listopad 2022</t>
  </si>
  <si>
    <t>Dopočet průměr 2022</t>
  </si>
  <si>
    <t>Průměr za rok 2022</t>
  </si>
  <si>
    <t>BRNO</t>
  </si>
  <si>
    <t>Celkem</t>
  </si>
  <si>
    <t>% navýšení pro rok 2023 v cenách za tunu</t>
  </si>
  <si>
    <t>Návrh na navýšení poplatku o ???</t>
  </si>
  <si>
    <t>Poplatek 2022</t>
  </si>
  <si>
    <t>Poplatek 2023</t>
  </si>
  <si>
    <t>???</t>
  </si>
  <si>
    <t>Poplatek od občanů 680Kč 2022</t>
  </si>
  <si>
    <t>Železo</t>
  </si>
  <si>
    <t>Ekokom</t>
  </si>
  <si>
    <t>Návrh na zýšení poplatku 700 Kč/rok 2023</t>
  </si>
  <si>
    <t>Při poplatku za komunální odpad 680 kč/rok 2023</t>
  </si>
  <si>
    <t>Průměr</t>
  </si>
  <si>
    <t>Celkem 2022</t>
  </si>
  <si>
    <t>Průměr 2022</t>
  </si>
  <si>
    <t>Výdaje celkem (průměr)</t>
  </si>
  <si>
    <t>Rozdíl (průměr)</t>
  </si>
  <si>
    <t xml:space="preserve">Výdaje celkem </t>
  </si>
  <si>
    <t xml:space="preserve">Rozdíl </t>
  </si>
  <si>
    <t>množství (kg)</t>
  </si>
  <si>
    <t xml:space="preserve">Množství odpadů celkem 2022 </t>
  </si>
  <si>
    <t xml:space="preserve">Odpady 2023 </t>
  </si>
  <si>
    <t>Při poplatku za komunální odpad 700 kč/rok 2023</t>
  </si>
  <si>
    <t>Dodatek č.7 navýšení 10%</t>
  </si>
  <si>
    <t>Návrh na zýšení poplatku 770 Kč/rok 2024</t>
  </si>
  <si>
    <t>Predikce přijmy</t>
  </si>
  <si>
    <t>Predikce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</si>
</sst>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u/>
      <sz val="24"/>
      <color theme="1"/>
      <name val="Calibri"/>
      <family val="2"/>
      <charset val="238"/>
      <scheme val="minor"/>
    </font>
    <font>
      <b/>
      <u/>
      <sz val="36"/>
      <color theme="1"/>
      <name val="Calibri"/>
      <family val="2"/>
      <charset val="238"/>
      <scheme val="minor"/>
    </font>
    <font>
      <b/>
      <u/>
      <sz val="2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2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7" borderId="1" xfId="0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9" fillId="0" borderId="0" xfId="0" applyFont="1"/>
    <xf numFmtId="6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9" borderId="0" xfId="0" applyFill="1"/>
    <xf numFmtId="0" fontId="1" fillId="9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workbookViewId="0">
      <selection activeCell="J29" sqref="J29"/>
    </sheetView>
  </sheetViews>
  <sheetFormatPr defaultRowHeight="15" x14ac:dyDescent="0.25"/>
  <cols>
    <col min="2" max="2" width="11.42578125" bestFit="1" customWidth="1"/>
    <col min="4" max="4" width="11.42578125" bestFit="1" customWidth="1"/>
    <col min="6" max="6" width="11.42578125" bestFit="1" customWidth="1"/>
    <col min="8" max="8" width="11.42578125" bestFit="1" customWidth="1"/>
    <col min="10" max="10" width="11.42578125" bestFit="1" customWidth="1"/>
    <col min="12" max="12" width="11.42578125" bestFit="1" customWidth="1"/>
    <col min="14" max="14" width="11.42578125" bestFit="1" customWidth="1"/>
    <col min="17" max="17" width="11.42578125" bestFit="1" customWidth="1"/>
    <col min="19" max="19" width="11.42578125" bestFit="1" customWidth="1"/>
    <col min="21" max="21" width="11.42578125" bestFit="1" customWidth="1"/>
    <col min="23" max="23" width="11.42578125" bestFit="1" customWidth="1"/>
  </cols>
  <sheetData>
    <row r="1" spans="1:24" x14ac:dyDescent="0.25">
      <c r="D1" s="51" t="s">
        <v>12</v>
      </c>
      <c r="E1" s="51"/>
      <c r="F1" s="51"/>
      <c r="G1" s="51"/>
      <c r="H1" s="51"/>
      <c r="I1" s="51"/>
      <c r="J1" s="51"/>
    </row>
    <row r="2" spans="1:24" x14ac:dyDescent="0.25">
      <c r="D2" s="51"/>
      <c r="E2" s="51"/>
      <c r="F2" s="51"/>
      <c r="G2" s="51"/>
      <c r="H2" s="51"/>
      <c r="I2" s="51"/>
      <c r="J2" s="51"/>
    </row>
    <row r="3" spans="1:24" x14ac:dyDescent="0.25">
      <c r="D3" s="51"/>
      <c r="E3" s="51"/>
      <c r="F3" s="51"/>
      <c r="G3" s="51"/>
      <c r="H3" s="51"/>
      <c r="I3" s="51"/>
      <c r="J3" s="51"/>
    </row>
    <row r="4" spans="1:24" x14ac:dyDescent="0.25">
      <c r="A4" s="52" t="s">
        <v>13</v>
      </c>
      <c r="B4" s="52"/>
      <c r="C4" s="52"/>
    </row>
    <row r="5" spans="1:24" x14ac:dyDescent="0.25">
      <c r="A5" s="52"/>
      <c r="B5" s="53"/>
      <c r="C5" s="53"/>
    </row>
    <row r="6" spans="1:24" x14ac:dyDescent="0.25">
      <c r="B6" s="49" t="s">
        <v>0</v>
      </c>
      <c r="C6" s="49"/>
      <c r="D6" s="49" t="s">
        <v>1</v>
      </c>
      <c r="E6" s="49"/>
      <c r="F6" s="49" t="s">
        <v>2</v>
      </c>
      <c r="G6" s="49"/>
      <c r="H6" s="49" t="s">
        <v>3</v>
      </c>
      <c r="I6" s="49"/>
      <c r="J6" s="49" t="s">
        <v>4</v>
      </c>
      <c r="K6" s="49"/>
      <c r="L6" s="49" t="s">
        <v>5</v>
      </c>
      <c r="M6" s="49"/>
      <c r="N6" s="49" t="s">
        <v>8</v>
      </c>
      <c r="O6" s="49"/>
      <c r="P6" s="49"/>
      <c r="Q6" s="49" t="s">
        <v>16</v>
      </c>
      <c r="R6" s="49"/>
      <c r="S6" s="50"/>
      <c r="T6" s="50"/>
      <c r="U6" s="3"/>
      <c r="V6" s="3"/>
      <c r="W6" s="50"/>
      <c r="X6" s="50"/>
    </row>
    <row r="7" spans="1:24" x14ac:dyDescent="0.25">
      <c r="B7" s="4" t="s">
        <v>6</v>
      </c>
      <c r="C7" s="4" t="s">
        <v>7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9" t="s">
        <v>7</v>
      </c>
      <c r="P7" s="49"/>
      <c r="Q7" s="49" t="s">
        <v>17</v>
      </c>
      <c r="R7" s="49"/>
      <c r="S7" s="3"/>
      <c r="T7" s="3"/>
      <c r="U7" s="3"/>
      <c r="V7" s="3"/>
      <c r="W7" s="3"/>
      <c r="X7" s="3"/>
    </row>
    <row r="8" spans="1:24" x14ac:dyDescent="0.25">
      <c r="B8" s="4">
        <v>24.81</v>
      </c>
      <c r="C8" s="4">
        <v>96759</v>
      </c>
      <c r="D8" s="4">
        <v>27.66</v>
      </c>
      <c r="E8" s="4">
        <v>17979</v>
      </c>
      <c r="F8" s="4">
        <v>24.52</v>
      </c>
      <c r="G8" s="4">
        <v>179241</v>
      </c>
      <c r="H8" s="4">
        <v>291.95</v>
      </c>
      <c r="I8" s="4">
        <v>483177</v>
      </c>
      <c r="J8" s="4">
        <v>62.52</v>
      </c>
      <c r="K8" s="4">
        <v>113161</v>
      </c>
      <c r="L8" s="4">
        <v>7.26</v>
      </c>
      <c r="M8" s="4">
        <v>13794</v>
      </c>
      <c r="N8" s="4">
        <v>142.88999999999999</v>
      </c>
      <c r="O8" s="49">
        <v>215720</v>
      </c>
      <c r="P8" s="49"/>
      <c r="Q8" s="49">
        <v>67000</v>
      </c>
      <c r="R8" s="49"/>
      <c r="S8" s="3"/>
      <c r="T8" s="3"/>
      <c r="U8" s="3"/>
      <c r="V8" s="3"/>
      <c r="W8" s="3"/>
      <c r="X8" s="3"/>
    </row>
    <row r="10" spans="1:24" x14ac:dyDescent="0.25">
      <c r="A10" s="55" t="s">
        <v>18</v>
      </c>
      <c r="B10" s="55"/>
      <c r="C10" s="55"/>
      <c r="D10" s="56">
        <v>1294656.44</v>
      </c>
      <c r="E10" s="56"/>
      <c r="F10" s="56"/>
    </row>
    <row r="11" spans="1:24" x14ac:dyDescent="0.25">
      <c r="A11" s="55"/>
      <c r="B11" s="55"/>
      <c r="C11" s="55"/>
      <c r="D11" s="56"/>
      <c r="E11" s="56"/>
      <c r="F11" s="56"/>
    </row>
    <row r="14" spans="1:24" x14ac:dyDescent="0.25">
      <c r="A14" s="52" t="s">
        <v>14</v>
      </c>
      <c r="B14" s="52"/>
      <c r="C14" s="52"/>
    </row>
    <row r="15" spans="1:24" x14ac:dyDescent="0.25">
      <c r="A15" s="52"/>
      <c r="B15" s="52"/>
      <c r="C15" s="52"/>
    </row>
    <row r="16" spans="1:24" x14ac:dyDescent="0.25">
      <c r="B16" s="57" t="s">
        <v>23</v>
      </c>
      <c r="C16" s="58"/>
      <c r="D16" s="59"/>
      <c r="E16" s="49" t="s">
        <v>24</v>
      </c>
      <c r="F16" s="49"/>
      <c r="G16" s="49" t="s">
        <v>25</v>
      </c>
      <c r="H16" s="49"/>
      <c r="I16" s="54"/>
      <c r="J16" s="54"/>
      <c r="K16" s="54"/>
    </row>
    <row r="17" spans="1:15" x14ac:dyDescent="0.25">
      <c r="B17" s="49">
        <v>895192</v>
      </c>
      <c r="C17" s="49"/>
      <c r="D17" s="49"/>
      <c r="E17" s="49">
        <v>36868</v>
      </c>
      <c r="F17" s="49"/>
      <c r="G17" s="49">
        <v>178247.5</v>
      </c>
      <c r="H17" s="49"/>
      <c r="I17" s="54"/>
      <c r="J17" s="54"/>
      <c r="K17" s="5"/>
    </row>
    <row r="19" spans="1:15" x14ac:dyDescent="0.25">
      <c r="A19" s="55" t="s">
        <v>19</v>
      </c>
      <c r="B19" s="55"/>
      <c r="C19" s="55"/>
      <c r="D19" s="56">
        <f>B17+E17+G17</f>
        <v>1110307.5</v>
      </c>
      <c r="E19" s="56"/>
      <c r="F19" s="56"/>
    </row>
    <row r="20" spans="1:15" x14ac:dyDescent="0.25">
      <c r="A20" s="55"/>
      <c r="B20" s="55"/>
      <c r="C20" s="55"/>
      <c r="D20" s="56"/>
      <c r="E20" s="56"/>
      <c r="F20" s="56"/>
      <c r="M20" t="s">
        <v>26</v>
      </c>
      <c r="N20" t="s">
        <v>27</v>
      </c>
      <c r="O20" t="s">
        <v>28</v>
      </c>
    </row>
    <row r="21" spans="1:15" x14ac:dyDescent="0.25">
      <c r="B21" s="2"/>
    </row>
    <row r="22" spans="1:15" s="1" customFormat="1" x14ac:dyDescent="0.25">
      <c r="B22" s="2"/>
    </row>
    <row r="23" spans="1:15" s="1" customFormat="1" x14ac:dyDescent="0.25">
      <c r="A23" s="55" t="s">
        <v>20</v>
      </c>
      <c r="B23" s="55"/>
      <c r="C23" s="55"/>
      <c r="D23" s="56">
        <f>D19-D10</f>
        <v>-184348.93999999994</v>
      </c>
      <c r="E23" s="56"/>
      <c r="F23" s="56"/>
      <c r="G23" s="56" t="s">
        <v>22</v>
      </c>
      <c r="H23" s="56"/>
    </row>
    <row r="24" spans="1:15" s="1" customFormat="1" x14ac:dyDescent="0.25">
      <c r="A24" s="55"/>
      <c r="B24" s="55"/>
      <c r="C24" s="55"/>
      <c r="D24" s="56"/>
      <c r="E24" s="56"/>
      <c r="F24" s="56"/>
      <c r="G24" s="56"/>
      <c r="H24" s="56"/>
    </row>
    <row r="25" spans="1:15" x14ac:dyDescent="0.25">
      <c r="B25" s="2"/>
    </row>
    <row r="27" spans="1:15" s="1" customFormat="1" x14ac:dyDescent="0.25">
      <c r="A27" s="52" t="s">
        <v>15</v>
      </c>
      <c r="B27" s="52"/>
      <c r="C27" s="52"/>
    </row>
    <row r="28" spans="1:15" x14ac:dyDescent="0.25">
      <c r="A28" s="52"/>
      <c r="B28" s="53"/>
      <c r="C28" s="53"/>
    </row>
    <row r="29" spans="1:15" x14ac:dyDescent="0.25">
      <c r="B29" s="49" t="s">
        <v>9</v>
      </c>
      <c r="C29" s="49"/>
      <c r="D29" s="49" t="s">
        <v>10</v>
      </c>
      <c r="E29" s="49"/>
      <c r="F29" s="60" t="s">
        <v>11</v>
      </c>
      <c r="G29" s="61"/>
      <c r="H29" s="54"/>
      <c r="I29" s="54"/>
    </row>
    <row r="30" spans="1:15" x14ac:dyDescent="0.25">
      <c r="B30" s="4" t="s">
        <v>6</v>
      </c>
      <c r="C30" s="4" t="s">
        <v>7</v>
      </c>
      <c r="D30" s="4" t="s">
        <v>6</v>
      </c>
      <c r="E30" s="4" t="s">
        <v>7</v>
      </c>
      <c r="F30" s="4" t="s">
        <v>21</v>
      </c>
      <c r="G30" s="4" t="s">
        <v>7</v>
      </c>
      <c r="H30" s="6"/>
      <c r="I30" s="6"/>
    </row>
    <row r="31" spans="1:15" x14ac:dyDescent="0.25">
      <c r="B31" s="4">
        <v>3.8580000000000001</v>
      </c>
      <c r="C31" s="4">
        <v>0</v>
      </c>
      <c r="D31" s="4">
        <v>5.1369999999999996</v>
      </c>
      <c r="E31" s="4">
        <v>0</v>
      </c>
      <c r="F31" s="4">
        <v>250</v>
      </c>
      <c r="G31" s="4">
        <v>0</v>
      </c>
      <c r="H31" s="6"/>
      <c r="I31" s="6"/>
    </row>
    <row r="34" spans="1:1" x14ac:dyDescent="0.25">
      <c r="A34">
        <f ca="1">A34:R34</f>
        <v>0</v>
      </c>
    </row>
    <row r="35" spans="1:1" ht="15" customHeight="1" x14ac:dyDescent="0.25"/>
    <row r="36" spans="1:1" ht="15" customHeight="1" x14ac:dyDescent="0.25"/>
    <row r="37" spans="1:1" ht="15" customHeight="1" x14ac:dyDescent="0.25"/>
    <row r="38" spans="1:1" ht="15" customHeight="1" x14ac:dyDescent="0.25"/>
    <row r="39" spans="1:1" ht="15" customHeight="1" x14ac:dyDescent="0.25"/>
    <row r="44" spans="1:1" ht="15" customHeight="1" x14ac:dyDescent="0.25"/>
    <row r="45" spans="1:1" ht="15" customHeight="1" x14ac:dyDescent="0.25"/>
    <row r="48" spans="1:1" ht="15" customHeight="1" x14ac:dyDescent="0.25"/>
    <row r="49" ht="15" customHeight="1" x14ac:dyDescent="0.25"/>
    <row r="53" ht="15" customHeight="1" x14ac:dyDescent="0.25"/>
    <row r="54" ht="15" customHeight="1" x14ac:dyDescent="0.25"/>
    <row r="57" ht="15" customHeight="1" x14ac:dyDescent="0.25"/>
    <row r="58" ht="15" customHeight="1" x14ac:dyDescent="0.25"/>
    <row r="61" ht="15" customHeight="1" x14ac:dyDescent="0.25"/>
    <row r="62" ht="15" customHeight="1" x14ac:dyDescent="0.25"/>
  </sheetData>
  <mergeCells count="37">
    <mergeCell ref="Q7:R7"/>
    <mergeCell ref="Q8:R8"/>
    <mergeCell ref="I16:K16"/>
    <mergeCell ref="F29:G29"/>
    <mergeCell ref="O7:P7"/>
    <mergeCell ref="O8:P8"/>
    <mergeCell ref="A19:C20"/>
    <mergeCell ref="A23:C24"/>
    <mergeCell ref="D23:F24"/>
    <mergeCell ref="B16:D16"/>
    <mergeCell ref="D19:F20"/>
    <mergeCell ref="B29:C29"/>
    <mergeCell ref="D29:E29"/>
    <mergeCell ref="H29:I29"/>
    <mergeCell ref="A27:C28"/>
    <mergeCell ref="G23:H24"/>
    <mergeCell ref="D1:J3"/>
    <mergeCell ref="A4:C5"/>
    <mergeCell ref="A14:C15"/>
    <mergeCell ref="B17:D17"/>
    <mergeCell ref="E16:F16"/>
    <mergeCell ref="G16:H16"/>
    <mergeCell ref="G17:H17"/>
    <mergeCell ref="E17:F17"/>
    <mergeCell ref="I17:J17"/>
    <mergeCell ref="A10:C11"/>
    <mergeCell ref="D10:F11"/>
    <mergeCell ref="Q6:R6"/>
    <mergeCell ref="S6:T6"/>
    <mergeCell ref="W6:X6"/>
    <mergeCell ref="B6:C6"/>
    <mergeCell ref="F6:G6"/>
    <mergeCell ref="D6:E6"/>
    <mergeCell ref="H6:I6"/>
    <mergeCell ref="L6:M6"/>
    <mergeCell ref="N6:P6"/>
    <mergeCell ref="J6:K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4"/>
  <sheetViews>
    <sheetView workbookViewId="0">
      <selection activeCell="J14" sqref="J14"/>
    </sheetView>
  </sheetViews>
  <sheetFormatPr defaultRowHeight="15" x14ac:dyDescent="0.25"/>
  <cols>
    <col min="2" max="2" width="11.42578125" bestFit="1" customWidth="1"/>
    <col min="3" max="3" width="8.5703125" bestFit="1" customWidth="1"/>
    <col min="4" max="4" width="11.42578125" bestFit="1" customWidth="1"/>
    <col min="6" max="6" width="11.5703125" bestFit="1" customWidth="1"/>
    <col min="8" max="8" width="11.42578125" bestFit="1" customWidth="1"/>
    <col min="9" max="9" width="9" bestFit="1" customWidth="1"/>
    <col min="10" max="10" width="11.42578125" bestFit="1" customWidth="1"/>
    <col min="12" max="12" width="11.42578125" bestFit="1" customWidth="1"/>
    <col min="14" max="14" width="11.42578125" bestFit="1" customWidth="1"/>
    <col min="17" max="17" width="10.85546875" bestFit="1" customWidth="1"/>
    <col min="18" max="18" width="11.140625" customWidth="1"/>
  </cols>
  <sheetData>
    <row r="3" spans="1:19" x14ac:dyDescent="0.25">
      <c r="A3" s="1"/>
      <c r="B3" s="1"/>
      <c r="C3" s="1"/>
      <c r="D3" s="51" t="s">
        <v>29</v>
      </c>
      <c r="E3" s="51"/>
      <c r="F3" s="51"/>
      <c r="G3" s="51"/>
      <c r="H3" s="51"/>
      <c r="I3" s="51"/>
      <c r="J3" s="5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51"/>
      <c r="E4" s="51"/>
      <c r="F4" s="51"/>
      <c r="G4" s="51"/>
      <c r="H4" s="51"/>
      <c r="I4" s="51"/>
      <c r="J4" s="5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51"/>
      <c r="E5" s="51"/>
      <c r="F5" s="51"/>
      <c r="G5" s="51"/>
      <c r="H5" s="51"/>
      <c r="I5" s="51"/>
      <c r="J5" s="5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52" t="s">
        <v>13</v>
      </c>
      <c r="B6" s="52"/>
      <c r="C6" s="5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52"/>
      <c r="B7" s="53"/>
      <c r="C7" s="5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1"/>
      <c r="B8" s="49" t="s">
        <v>0</v>
      </c>
      <c r="C8" s="49"/>
      <c r="D8" s="49" t="s">
        <v>1</v>
      </c>
      <c r="E8" s="49"/>
      <c r="F8" s="49" t="s">
        <v>2</v>
      </c>
      <c r="G8" s="49"/>
      <c r="H8" s="49" t="s">
        <v>3</v>
      </c>
      <c r="I8" s="49"/>
      <c r="J8" s="49" t="s">
        <v>4</v>
      </c>
      <c r="K8" s="49"/>
      <c r="L8" s="49" t="s">
        <v>5</v>
      </c>
      <c r="M8" s="49"/>
      <c r="N8" s="49" t="s">
        <v>8</v>
      </c>
      <c r="O8" s="49"/>
      <c r="P8" s="49"/>
      <c r="Q8" s="49" t="s">
        <v>16</v>
      </c>
      <c r="R8" s="49"/>
      <c r="S8" s="1"/>
    </row>
    <row r="9" spans="1:19" x14ac:dyDescent="0.25">
      <c r="A9" s="1"/>
      <c r="B9" s="7" t="s">
        <v>6</v>
      </c>
      <c r="C9" s="7" t="s">
        <v>7</v>
      </c>
      <c r="D9" s="7" t="s">
        <v>6</v>
      </c>
      <c r="E9" s="7" t="s">
        <v>7</v>
      </c>
      <c r="F9" s="7" t="s">
        <v>6</v>
      </c>
      <c r="G9" s="7" t="s">
        <v>7</v>
      </c>
      <c r="H9" s="7" t="s">
        <v>6</v>
      </c>
      <c r="I9" s="7" t="s">
        <v>7</v>
      </c>
      <c r="J9" s="7" t="s">
        <v>6</v>
      </c>
      <c r="K9" s="7" t="s">
        <v>7</v>
      </c>
      <c r="L9" s="7" t="s">
        <v>6</v>
      </c>
      <c r="M9" s="7" t="s">
        <v>7</v>
      </c>
      <c r="N9" s="7" t="s">
        <v>6</v>
      </c>
      <c r="O9" s="49" t="s">
        <v>7</v>
      </c>
      <c r="P9" s="49"/>
      <c r="Q9" s="49" t="s">
        <v>17</v>
      </c>
      <c r="R9" s="49"/>
      <c r="S9" s="1"/>
    </row>
    <row r="10" spans="1:19" x14ac:dyDescent="0.25">
      <c r="A10" s="1"/>
      <c r="B10" s="13">
        <v>31.57</v>
      </c>
      <c r="C10" s="12">
        <f>31.57*1250</f>
        <v>39462.5</v>
      </c>
      <c r="D10" s="11">
        <v>22.52</v>
      </c>
      <c r="E10" s="12">
        <f>22.52*683</f>
        <v>15381.16</v>
      </c>
      <c r="F10" s="11">
        <v>18.809999999999999</v>
      </c>
      <c r="G10" s="7">
        <f>18.81*2900</f>
        <v>54548.999999999993</v>
      </c>
      <c r="H10" s="11">
        <v>281.31</v>
      </c>
      <c r="I10" s="7">
        <f>281.31*1750</f>
        <v>492292.5</v>
      </c>
      <c r="J10" s="14">
        <v>103.93</v>
      </c>
      <c r="K10" s="7">
        <f>103.93*1910</f>
        <v>198506.30000000002</v>
      </c>
      <c r="L10" s="14">
        <v>12.75</v>
      </c>
      <c r="M10" s="7">
        <f>12.75*2000</f>
        <v>25500</v>
      </c>
      <c r="N10" s="11">
        <v>121.39</v>
      </c>
      <c r="O10" s="49">
        <v>183261</v>
      </c>
      <c r="P10" s="49"/>
      <c r="Q10" s="49">
        <v>73000</v>
      </c>
      <c r="R10" s="49"/>
      <c r="S10" s="1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55" t="s">
        <v>18</v>
      </c>
      <c r="B12" s="55"/>
      <c r="C12" s="55"/>
      <c r="D12" s="56">
        <v>1510344</v>
      </c>
      <c r="E12" s="56"/>
      <c r="F12" s="5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55"/>
      <c r="B13" s="55"/>
      <c r="C13" s="55"/>
      <c r="D13" s="56"/>
      <c r="E13" s="56"/>
      <c r="F13" s="5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 t="s">
        <v>32</v>
      </c>
      <c r="K14" s="1"/>
      <c r="L14" s="1"/>
      <c r="M14" s="15">
        <f>B10+D10+F10+H10+J10+L10+N10</f>
        <v>592.28000000000009</v>
      </c>
      <c r="N14" s="1"/>
      <c r="O14" s="1"/>
      <c r="P14" s="1"/>
      <c r="Q14" s="1"/>
      <c r="R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52" t="s">
        <v>14</v>
      </c>
      <c r="B16" s="52"/>
      <c r="C16" s="5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52"/>
      <c r="B17" s="52"/>
      <c r="C17" s="5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57" t="s">
        <v>23</v>
      </c>
      <c r="C18" s="58"/>
      <c r="D18" s="59"/>
      <c r="E18" s="49" t="s">
        <v>24</v>
      </c>
      <c r="F18" s="49"/>
      <c r="G18" s="49" t="s">
        <v>25</v>
      </c>
      <c r="H18" s="49"/>
      <c r="I18" s="54"/>
      <c r="J18" s="54"/>
      <c r="K18" s="54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49">
        <v>907953</v>
      </c>
      <c r="C19" s="49"/>
      <c r="D19" s="49"/>
      <c r="E19" s="49">
        <v>69605</v>
      </c>
      <c r="F19" s="49"/>
      <c r="G19" s="49">
        <v>207226</v>
      </c>
      <c r="H19" s="49"/>
      <c r="I19" s="54"/>
      <c r="J19" s="54"/>
      <c r="K19" s="5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55" t="s">
        <v>19</v>
      </c>
      <c r="B21" s="55"/>
      <c r="C21" s="55"/>
      <c r="D21" s="56">
        <f>B19+E19+G19</f>
        <v>1184784</v>
      </c>
      <c r="E21" s="56"/>
      <c r="F21" s="5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55"/>
      <c r="B22" s="55"/>
      <c r="C22" s="55"/>
      <c r="D22" s="56"/>
      <c r="E22" s="56"/>
      <c r="F22" s="56"/>
      <c r="G22" s="1"/>
      <c r="H22" s="1"/>
      <c r="I22" s="1"/>
      <c r="J22" s="1"/>
      <c r="K22" s="1"/>
      <c r="L22" s="1"/>
      <c r="M22" s="1" t="s">
        <v>26</v>
      </c>
      <c r="N22" s="1" t="s">
        <v>27</v>
      </c>
      <c r="O22" s="1" t="s">
        <v>28</v>
      </c>
      <c r="P22" s="1"/>
      <c r="Q22" s="1"/>
      <c r="R22" s="1"/>
      <c r="S22" s="1"/>
    </row>
    <row r="23" spans="1:19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55" t="s">
        <v>20</v>
      </c>
      <c r="B25" s="55"/>
      <c r="C25" s="55"/>
      <c r="D25" s="56">
        <f>D21-D12</f>
        <v>-325560</v>
      </c>
      <c r="E25" s="56"/>
      <c r="F25" s="56"/>
      <c r="G25" s="56" t="s">
        <v>22</v>
      </c>
      <c r="H25" s="56"/>
      <c r="I25" s="1"/>
      <c r="J25" s="62" t="s">
        <v>30</v>
      </c>
      <c r="K25" s="63"/>
      <c r="L25" s="63"/>
      <c r="M25" s="63"/>
      <c r="N25" s="63"/>
      <c r="O25" s="63"/>
      <c r="P25" s="63"/>
      <c r="Q25" s="64"/>
      <c r="R25" s="1"/>
      <c r="S25" s="1"/>
    </row>
    <row r="26" spans="1:19" x14ac:dyDescent="0.25">
      <c r="A26" s="55"/>
      <c r="B26" s="55"/>
      <c r="C26" s="55"/>
      <c r="D26" s="56"/>
      <c r="E26" s="56"/>
      <c r="F26" s="56"/>
      <c r="G26" s="56"/>
      <c r="H26" s="56"/>
      <c r="I26" s="1"/>
      <c r="J26" s="65"/>
      <c r="K26" s="66"/>
      <c r="L26" s="66"/>
      <c r="M26" s="66"/>
      <c r="N26" s="66"/>
      <c r="O26" s="66"/>
      <c r="P26" s="66"/>
      <c r="Q26" s="67"/>
      <c r="R26" s="1"/>
      <c r="S26" s="1"/>
    </row>
    <row r="27" spans="1:19" x14ac:dyDescent="0.25">
      <c r="A27" s="1"/>
      <c r="B27" s="2"/>
      <c r="C27" s="1"/>
      <c r="D27" s="1"/>
      <c r="E27" s="1"/>
      <c r="F27" s="1"/>
      <c r="G27" s="1"/>
      <c r="H27" s="1"/>
      <c r="I27" s="1"/>
      <c r="J27" s="68"/>
      <c r="K27" s="69"/>
      <c r="L27" s="69"/>
      <c r="M27" s="69"/>
      <c r="N27" s="69"/>
      <c r="O27" s="69"/>
      <c r="P27" s="69"/>
      <c r="Q27" s="70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52" t="s">
        <v>15</v>
      </c>
      <c r="B29" s="52"/>
      <c r="C29" s="5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52"/>
      <c r="B30" s="53"/>
      <c r="C30" s="5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49" t="s">
        <v>9</v>
      </c>
      <c r="C31" s="49"/>
      <c r="D31" s="49" t="s">
        <v>10</v>
      </c>
      <c r="E31" s="49"/>
      <c r="F31" s="60" t="s">
        <v>11</v>
      </c>
      <c r="G31" s="61"/>
      <c r="H31" s="54"/>
      <c r="I31" s="54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7" t="s">
        <v>6</v>
      </c>
      <c r="C32" s="7" t="s">
        <v>7</v>
      </c>
      <c r="D32" s="7" t="s">
        <v>6</v>
      </c>
      <c r="E32" s="7" t="s">
        <v>7</v>
      </c>
      <c r="F32" s="7" t="s">
        <v>21</v>
      </c>
      <c r="G32" s="7" t="s">
        <v>7</v>
      </c>
      <c r="H32" s="8"/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7">
        <v>2.6070000000000002</v>
      </c>
      <c r="C33" s="7">
        <v>0</v>
      </c>
      <c r="D33" s="7">
        <v>5.1369999999999996</v>
      </c>
      <c r="E33" s="7">
        <v>0</v>
      </c>
      <c r="F33" s="7">
        <v>164</v>
      </c>
      <c r="G33" s="7">
        <v>0</v>
      </c>
      <c r="H33" s="8"/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</sheetData>
  <mergeCells count="36">
    <mergeCell ref="O10:P10"/>
    <mergeCell ref="Q10:R10"/>
    <mergeCell ref="D3:J5"/>
    <mergeCell ref="A6:C7"/>
    <mergeCell ref="B8:C8"/>
    <mergeCell ref="D8:E8"/>
    <mergeCell ref="F8:G8"/>
    <mergeCell ref="H8:I8"/>
    <mergeCell ref="J8:K8"/>
    <mergeCell ref="L8:M8"/>
    <mergeCell ref="N8:P8"/>
    <mergeCell ref="Q8:R8"/>
    <mergeCell ref="O9:P9"/>
    <mergeCell ref="Q9:R9"/>
    <mergeCell ref="A12:C13"/>
    <mergeCell ref="D12:F13"/>
    <mergeCell ref="A16:C17"/>
    <mergeCell ref="B18:D18"/>
    <mergeCell ref="E18:F18"/>
    <mergeCell ref="A21:C22"/>
    <mergeCell ref="D21:F22"/>
    <mergeCell ref="G18:H18"/>
    <mergeCell ref="J25:Q27"/>
    <mergeCell ref="A25:C26"/>
    <mergeCell ref="D25:F26"/>
    <mergeCell ref="G25:H26"/>
    <mergeCell ref="I18:K18"/>
    <mergeCell ref="B19:D19"/>
    <mergeCell ref="E19:F19"/>
    <mergeCell ref="G19:H19"/>
    <mergeCell ref="I19:J19"/>
    <mergeCell ref="A29:C30"/>
    <mergeCell ref="B31:C31"/>
    <mergeCell ref="D31:E31"/>
    <mergeCell ref="F31:G31"/>
    <mergeCell ref="H31:I3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9" workbookViewId="0">
      <selection activeCell="S20" sqref="S20"/>
    </sheetView>
  </sheetViews>
  <sheetFormatPr defaultRowHeight="15" x14ac:dyDescent="0.25"/>
  <cols>
    <col min="1" max="1" width="12.140625" bestFit="1" customWidth="1"/>
    <col min="2" max="2" width="11.42578125" bestFit="1" customWidth="1"/>
    <col min="4" max="4" width="11.42578125" bestFit="1" customWidth="1"/>
    <col min="6" max="6" width="11.5703125" bestFit="1" customWidth="1"/>
    <col min="8" max="8" width="11.42578125" bestFit="1" customWidth="1"/>
    <col min="9" max="9" width="9" bestFit="1" customWidth="1"/>
    <col min="10" max="10" width="11.42578125" bestFit="1" customWidth="1"/>
    <col min="11" max="11" width="9" customWidth="1"/>
    <col min="12" max="12" width="12" bestFit="1" customWidth="1"/>
    <col min="13" max="13" width="10.85546875" bestFit="1" customWidth="1"/>
    <col min="14" max="14" width="11.42578125" customWidth="1"/>
    <col min="18" max="18" width="11.140625" customWidth="1"/>
    <col min="19" max="19" width="11.42578125" bestFit="1" customWidth="1"/>
    <col min="21" max="21" width="11.42578125" bestFit="1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5">
      <c r="A2" s="1"/>
      <c r="B2" s="1"/>
      <c r="C2" s="1"/>
      <c r="D2" s="51" t="s">
        <v>31</v>
      </c>
      <c r="E2" s="51"/>
      <c r="F2" s="51"/>
      <c r="G2" s="51"/>
      <c r="H2" s="51"/>
      <c r="I2" s="51"/>
      <c r="J2" s="51"/>
      <c r="K2" s="1"/>
      <c r="L2" s="1"/>
      <c r="M2" s="1"/>
      <c r="N2" s="1"/>
      <c r="O2" s="1"/>
      <c r="P2" s="1"/>
      <c r="Q2" s="1"/>
      <c r="R2" s="1"/>
    </row>
    <row r="3" spans="1:22" x14ac:dyDescent="0.25">
      <c r="A3" s="1"/>
      <c r="B3" s="1"/>
      <c r="C3" s="1"/>
      <c r="D3" s="51"/>
      <c r="E3" s="51"/>
      <c r="F3" s="51"/>
      <c r="G3" s="51"/>
      <c r="H3" s="51"/>
      <c r="I3" s="51"/>
      <c r="J3" s="51"/>
      <c r="K3" s="1"/>
      <c r="L3" s="1"/>
      <c r="M3" s="1"/>
      <c r="N3" s="1"/>
      <c r="O3" s="1"/>
      <c r="P3" s="1"/>
      <c r="Q3" s="1"/>
      <c r="R3" s="1"/>
    </row>
    <row r="4" spans="1:22" x14ac:dyDescent="0.25">
      <c r="A4" s="1"/>
      <c r="B4" s="1"/>
      <c r="C4" s="1"/>
      <c r="D4" s="51"/>
      <c r="E4" s="51"/>
      <c r="F4" s="51"/>
      <c r="G4" s="51"/>
      <c r="H4" s="51"/>
      <c r="I4" s="51"/>
      <c r="J4" s="51"/>
      <c r="K4" s="1"/>
      <c r="L4" s="1"/>
      <c r="M4" s="1"/>
      <c r="N4" s="1"/>
      <c r="O4" s="1"/>
      <c r="P4" s="1"/>
      <c r="Q4" s="1"/>
      <c r="R4" s="1"/>
    </row>
    <row r="5" spans="1:22" x14ac:dyDescent="0.25">
      <c r="A5" s="74" t="s">
        <v>13</v>
      </c>
      <c r="B5" s="74"/>
      <c r="C5" s="7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2" x14ac:dyDescent="0.25">
      <c r="A6" s="74"/>
      <c r="B6" s="75"/>
      <c r="C6" s="7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2" x14ac:dyDescent="0.25">
      <c r="A7" s="1"/>
      <c r="B7" s="76" t="s">
        <v>0</v>
      </c>
      <c r="C7" s="76"/>
      <c r="D7" s="77" t="s">
        <v>1</v>
      </c>
      <c r="E7" s="77"/>
      <c r="F7" s="78" t="s">
        <v>2</v>
      </c>
      <c r="G7" s="78"/>
      <c r="H7" s="79" t="s">
        <v>3</v>
      </c>
      <c r="I7" s="79"/>
      <c r="J7" s="73" t="s">
        <v>4</v>
      </c>
      <c r="K7" s="73"/>
      <c r="L7" s="97" t="s">
        <v>5</v>
      </c>
      <c r="M7" s="97"/>
      <c r="N7" s="77" t="s">
        <v>8</v>
      </c>
      <c r="O7" s="77"/>
      <c r="P7" s="77"/>
      <c r="Q7" s="77" t="s">
        <v>16</v>
      </c>
      <c r="R7" s="77"/>
      <c r="S7" s="84" t="s">
        <v>48</v>
      </c>
      <c r="T7" s="84"/>
      <c r="U7" s="84" t="s">
        <v>49</v>
      </c>
      <c r="V7" s="84"/>
    </row>
    <row r="8" spans="1:22" s="1" customFormat="1" x14ac:dyDescent="0.25">
      <c r="B8" s="85" t="s">
        <v>41</v>
      </c>
      <c r="C8" s="86"/>
      <c r="D8" s="87" t="s">
        <v>42</v>
      </c>
      <c r="E8" s="88"/>
      <c r="F8" s="89" t="s">
        <v>43</v>
      </c>
      <c r="G8" s="90"/>
      <c r="H8" s="91" t="s">
        <v>44</v>
      </c>
      <c r="I8" s="92"/>
      <c r="J8" s="93" t="s">
        <v>45</v>
      </c>
      <c r="K8" s="94"/>
      <c r="L8" s="95" t="s">
        <v>46</v>
      </c>
      <c r="M8" s="96"/>
      <c r="N8" s="22"/>
      <c r="O8" s="22"/>
      <c r="P8" s="22"/>
      <c r="Q8" s="22"/>
      <c r="R8" s="22"/>
      <c r="S8" s="84" t="s">
        <v>50</v>
      </c>
      <c r="T8" s="84"/>
      <c r="U8" s="84" t="s">
        <v>51</v>
      </c>
      <c r="V8" s="84"/>
    </row>
    <row r="9" spans="1:22" x14ac:dyDescent="0.25">
      <c r="A9" s="1"/>
      <c r="B9" s="17" t="s">
        <v>6</v>
      </c>
      <c r="C9" s="17" t="s">
        <v>7</v>
      </c>
      <c r="D9" s="9" t="s">
        <v>6</v>
      </c>
      <c r="E9" s="9" t="s">
        <v>7</v>
      </c>
      <c r="F9" s="19" t="s">
        <v>6</v>
      </c>
      <c r="G9" s="19" t="s">
        <v>7</v>
      </c>
      <c r="H9" s="20" t="s">
        <v>6</v>
      </c>
      <c r="I9" s="20" t="s">
        <v>7</v>
      </c>
      <c r="J9" s="11" t="s">
        <v>6</v>
      </c>
      <c r="K9" s="11" t="s">
        <v>7</v>
      </c>
      <c r="L9" s="21" t="s">
        <v>6</v>
      </c>
      <c r="M9" s="21" t="s">
        <v>7</v>
      </c>
      <c r="N9" s="9" t="s">
        <v>6</v>
      </c>
      <c r="O9" s="49" t="s">
        <v>7</v>
      </c>
      <c r="P9" s="49"/>
      <c r="Q9" s="49" t="s">
        <v>17</v>
      </c>
      <c r="R9" s="49"/>
      <c r="S9" s="25" t="s">
        <v>6</v>
      </c>
      <c r="T9" s="25" t="s">
        <v>52</v>
      </c>
      <c r="U9" s="25" t="s">
        <v>6</v>
      </c>
      <c r="V9" s="25" t="s">
        <v>52</v>
      </c>
    </row>
    <row r="10" spans="1:22" x14ac:dyDescent="0.25">
      <c r="A10" s="1" t="s">
        <v>73</v>
      </c>
      <c r="B10" s="18">
        <v>26.5</v>
      </c>
      <c r="C10" s="17">
        <f>B10*3900</f>
        <v>103350</v>
      </c>
      <c r="D10" s="12">
        <v>21.6</v>
      </c>
      <c r="E10" s="12">
        <f>21.6*765</f>
        <v>16524</v>
      </c>
      <c r="F10" s="19">
        <v>16.079999999999998</v>
      </c>
      <c r="G10" s="19">
        <f>16.08*8190</f>
        <v>131695.19999999998</v>
      </c>
      <c r="H10" s="20">
        <v>241.9</v>
      </c>
      <c r="I10" s="20">
        <f>241.9*1950</f>
        <v>471705</v>
      </c>
      <c r="J10" s="11">
        <v>97.02</v>
      </c>
      <c r="K10" s="11">
        <f>97.02*2100</f>
        <v>203742</v>
      </c>
      <c r="L10" s="21">
        <v>2.79</v>
      </c>
      <c r="M10" s="21">
        <f>2.79*2300</f>
        <v>6417</v>
      </c>
      <c r="N10" s="12">
        <v>115.64</v>
      </c>
      <c r="O10" s="83">
        <v>206728.3</v>
      </c>
      <c r="P10" s="83"/>
      <c r="Q10" s="83">
        <v>80000</v>
      </c>
      <c r="R10" s="83"/>
      <c r="S10" s="16">
        <v>1.569</v>
      </c>
      <c r="T10" s="16">
        <f>S10*11000</f>
        <v>17259</v>
      </c>
      <c r="U10" s="16">
        <v>0.746</v>
      </c>
      <c r="V10" s="16">
        <f>U10*1100</f>
        <v>820.6</v>
      </c>
    </row>
    <row r="11" spans="1:22" x14ac:dyDescent="0.25">
      <c r="A11" s="47" t="s">
        <v>72</v>
      </c>
      <c r="B11" s="18">
        <v>27.06</v>
      </c>
      <c r="C11" s="17">
        <f>B11*3900</f>
        <v>105534</v>
      </c>
      <c r="D11" s="41">
        <v>25.38</v>
      </c>
      <c r="E11" s="41">
        <f>D11*765</f>
        <v>19415.7</v>
      </c>
      <c r="F11" s="19">
        <v>18.8</v>
      </c>
      <c r="G11" s="19">
        <f>F11*8190</f>
        <v>153972</v>
      </c>
      <c r="H11" s="20">
        <v>254.7</v>
      </c>
      <c r="I11" s="20">
        <f>H11*1950</f>
        <v>496665</v>
      </c>
      <c r="J11" s="11">
        <v>95.48</v>
      </c>
      <c r="K11" s="11">
        <f>J11*2100</f>
        <v>200508</v>
      </c>
      <c r="L11" s="21">
        <v>4.6399999999999997</v>
      </c>
      <c r="M11" s="21">
        <f>L11*2300</f>
        <v>10672</v>
      </c>
      <c r="N11" s="1"/>
      <c r="O11" s="1"/>
      <c r="P11" s="1"/>
      <c r="Q11" s="1"/>
      <c r="R11" s="1"/>
    </row>
    <row r="12" spans="1:22" x14ac:dyDescent="0.25">
      <c r="A12" s="55" t="s">
        <v>74</v>
      </c>
      <c r="B12" s="55"/>
      <c r="C12" s="55"/>
      <c r="D12" s="56">
        <f>C10+E10+G10+I10+K10+M10+O10+Q10+T10+V10</f>
        <v>1238241.1000000001</v>
      </c>
      <c r="E12" s="56"/>
      <c r="F12" s="56"/>
      <c r="G12" s="1"/>
      <c r="H12" s="1"/>
      <c r="I12" s="1"/>
      <c r="J12" s="1"/>
      <c r="K12" s="1"/>
      <c r="L12" s="1"/>
      <c r="M12" s="1"/>
      <c r="N12" s="1"/>
      <c r="O12" s="1"/>
      <c r="P12" s="1"/>
      <c r="Q12" s="72" t="s">
        <v>76</v>
      </c>
      <c r="R12" s="72"/>
      <c r="S12" s="72"/>
      <c r="T12" s="71">
        <f>C11+E11+G11+I11+K11+M11+O10+Q10+T10+V10</f>
        <v>1291574.6000000001</v>
      </c>
      <c r="U12" s="71"/>
      <c r="V12" s="71"/>
    </row>
    <row r="13" spans="1:22" ht="15" customHeight="1" x14ac:dyDescent="0.25">
      <c r="A13" s="55"/>
      <c r="B13" s="55"/>
      <c r="C13" s="55"/>
      <c r="D13" s="56"/>
      <c r="E13" s="56"/>
      <c r="F13" s="56"/>
      <c r="G13" s="1"/>
      <c r="H13" s="1"/>
      <c r="I13" s="1"/>
      <c r="J13" s="1"/>
      <c r="K13" s="1"/>
      <c r="L13" s="1"/>
      <c r="M13" s="1"/>
      <c r="N13" s="1"/>
      <c r="O13" s="1"/>
      <c r="P13" s="1"/>
      <c r="Q13" s="72"/>
      <c r="R13" s="72"/>
      <c r="S13" s="72"/>
      <c r="T13" s="71"/>
      <c r="U13" s="71"/>
      <c r="V13" s="71"/>
    </row>
    <row r="14" spans="1:22" ht="15" customHeight="1" x14ac:dyDescent="0.25">
      <c r="A14" s="1"/>
      <c r="B14" s="1"/>
      <c r="C14" s="1"/>
      <c r="D14" s="1"/>
      <c r="E14" s="1"/>
      <c r="F14" s="1"/>
      <c r="G14" s="1"/>
      <c r="H14" s="1"/>
      <c r="I14" s="15" t="s">
        <v>71</v>
      </c>
      <c r="J14" s="1" t="s">
        <v>79</v>
      </c>
      <c r="K14" s="1"/>
      <c r="L14" s="1"/>
      <c r="M14" s="15">
        <f>B10+D10+F10+H10+J10+L10+N10</f>
        <v>521.53000000000009</v>
      </c>
      <c r="N14" s="1"/>
      <c r="O14" s="1">
        <f>B11+D11+F11+H11+J11+L11+N10+S10+U10</f>
        <v>544.01499999999999</v>
      </c>
      <c r="P14" s="15" t="s">
        <v>60</v>
      </c>
      <c r="Q14" s="1"/>
      <c r="R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 t="s">
        <v>32</v>
      </c>
      <c r="K15" s="1"/>
      <c r="L15" s="1"/>
      <c r="M15" s="1">
        <v>592.28</v>
      </c>
      <c r="N15" s="1"/>
      <c r="O15" s="1">
        <v>592.28</v>
      </c>
      <c r="P15" s="1"/>
      <c r="Q15" s="1"/>
      <c r="R15" s="1"/>
    </row>
    <row r="16" spans="1:22" ht="15" customHeight="1" x14ac:dyDescent="0.35">
      <c r="A16" s="74" t="s">
        <v>14</v>
      </c>
      <c r="B16" s="74"/>
      <c r="C16" s="74"/>
      <c r="D16" s="1"/>
      <c r="E16" s="1"/>
      <c r="F16" s="1"/>
      <c r="G16" s="1"/>
      <c r="H16" s="1"/>
      <c r="I16" s="1"/>
      <c r="J16" s="1"/>
      <c r="K16" s="1"/>
      <c r="L16" s="15" t="s">
        <v>20</v>
      </c>
      <c r="M16" s="23">
        <f>M14-M15</f>
        <v>-70.749999999999886</v>
      </c>
      <c r="N16" s="1" t="s">
        <v>47</v>
      </c>
      <c r="O16" s="48">
        <f>O14-O15</f>
        <v>-48.264999999999986</v>
      </c>
      <c r="P16" s="47" t="s">
        <v>47</v>
      </c>
      <c r="Q16" s="1"/>
      <c r="R16" s="1"/>
    </row>
    <row r="17" spans="1:26" ht="15" customHeight="1" x14ac:dyDescent="0.25">
      <c r="A17" s="74"/>
      <c r="B17" s="75"/>
      <c r="C17" s="7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1"/>
      <c r="B18" s="80" t="s">
        <v>23</v>
      </c>
      <c r="C18" s="81"/>
      <c r="D18" s="82"/>
      <c r="E18" s="77" t="s">
        <v>24</v>
      </c>
      <c r="F18" s="77"/>
      <c r="G18" s="77" t="s">
        <v>25</v>
      </c>
      <c r="H18" s="77"/>
      <c r="I18" s="54"/>
      <c r="J18" s="54"/>
      <c r="K18" s="54"/>
      <c r="L18" s="1"/>
      <c r="M18" s="1"/>
      <c r="N18" s="1"/>
      <c r="O18" s="1"/>
      <c r="P18" s="1"/>
      <c r="Q18" s="1"/>
      <c r="R18" s="1"/>
    </row>
    <row r="19" spans="1:26" x14ac:dyDescent="0.25">
      <c r="A19" s="1"/>
      <c r="B19" s="49">
        <v>1106113</v>
      </c>
      <c r="C19" s="49"/>
      <c r="D19" s="49"/>
      <c r="E19" s="49">
        <v>41487</v>
      </c>
      <c r="F19" s="49"/>
      <c r="G19" s="49">
        <v>236911.05</v>
      </c>
      <c r="H19" s="49"/>
      <c r="I19" s="54"/>
      <c r="J19" s="54"/>
      <c r="K19" s="5"/>
      <c r="L19" s="1"/>
      <c r="M19" s="1"/>
      <c r="N19" s="1"/>
      <c r="O19" s="1"/>
      <c r="P19" s="1"/>
      <c r="Q19" s="1"/>
      <c r="R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6" x14ac:dyDescent="0.25">
      <c r="A21" s="72" t="s">
        <v>19</v>
      </c>
      <c r="B21" s="72"/>
      <c r="C21" s="72"/>
      <c r="D21" s="71">
        <f>B19+E19+G19</f>
        <v>1384511.05</v>
      </c>
      <c r="E21" s="71"/>
      <c r="F21" s="7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26" x14ac:dyDescent="0.25">
      <c r="A22" s="72"/>
      <c r="B22" s="72"/>
      <c r="C22" s="72"/>
      <c r="D22" s="71"/>
      <c r="E22" s="71"/>
      <c r="F22" s="71"/>
      <c r="G22" s="1"/>
      <c r="H22" s="1"/>
      <c r="I22" s="1"/>
      <c r="J22" s="1"/>
      <c r="K22" s="1"/>
      <c r="L22" s="1"/>
      <c r="M22" s="1" t="s">
        <v>26</v>
      </c>
      <c r="N22" s="1" t="s">
        <v>27</v>
      </c>
      <c r="O22" s="1" t="s">
        <v>28</v>
      </c>
      <c r="P22" s="1"/>
      <c r="Q22" s="1"/>
      <c r="R22" s="1"/>
    </row>
    <row r="23" spans="1:26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6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6" ht="15" customHeight="1" x14ac:dyDescent="0.25">
      <c r="A25" s="55" t="s">
        <v>75</v>
      </c>
      <c r="B25" s="55"/>
      <c r="C25" s="55"/>
      <c r="D25" s="56">
        <f>D21-D12</f>
        <v>146269.94999999995</v>
      </c>
      <c r="E25" s="56"/>
      <c r="F25" s="56"/>
      <c r="G25" s="56" t="s">
        <v>33</v>
      </c>
      <c r="H25" s="56"/>
      <c r="I25" s="1"/>
      <c r="J25" s="62" t="s">
        <v>30</v>
      </c>
      <c r="K25" s="63"/>
      <c r="L25" s="63"/>
      <c r="M25" s="63"/>
      <c r="N25" s="63"/>
      <c r="O25" s="63"/>
      <c r="P25" s="63"/>
      <c r="Q25" s="64"/>
      <c r="R25" s="1"/>
      <c r="S25" s="72" t="s">
        <v>77</v>
      </c>
      <c r="T25" s="72"/>
      <c r="U25" s="72"/>
      <c r="V25" s="71">
        <f>D21-T12</f>
        <v>92936.449999999953</v>
      </c>
      <c r="W25" s="71"/>
      <c r="X25" s="71"/>
      <c r="Y25" s="56" t="s">
        <v>33</v>
      </c>
      <c r="Z25" s="56"/>
    </row>
    <row r="26" spans="1:26" ht="15" customHeight="1" x14ac:dyDescent="0.25">
      <c r="A26" s="55"/>
      <c r="B26" s="55"/>
      <c r="C26" s="55"/>
      <c r="D26" s="56"/>
      <c r="E26" s="56"/>
      <c r="F26" s="56"/>
      <c r="G26" s="56"/>
      <c r="H26" s="56"/>
      <c r="I26" s="1"/>
      <c r="J26" s="65"/>
      <c r="K26" s="66"/>
      <c r="L26" s="66"/>
      <c r="M26" s="66"/>
      <c r="N26" s="66"/>
      <c r="O26" s="66"/>
      <c r="P26" s="66"/>
      <c r="Q26" s="67"/>
      <c r="R26" s="1"/>
      <c r="S26" s="72"/>
      <c r="T26" s="72"/>
      <c r="U26" s="72"/>
      <c r="V26" s="71"/>
      <c r="W26" s="71"/>
      <c r="X26" s="71"/>
      <c r="Y26" s="56"/>
      <c r="Z26" s="56"/>
    </row>
    <row r="27" spans="1:26" ht="15" customHeight="1" x14ac:dyDescent="0.25">
      <c r="A27" s="1"/>
      <c r="B27" s="2"/>
      <c r="C27" s="1"/>
      <c r="D27" s="1"/>
      <c r="E27" s="1"/>
      <c r="F27" s="1"/>
      <c r="G27" s="1"/>
      <c r="H27" s="1"/>
      <c r="I27" s="1"/>
      <c r="J27" s="68"/>
      <c r="K27" s="69"/>
      <c r="L27" s="69"/>
      <c r="M27" s="69"/>
      <c r="N27" s="69"/>
      <c r="O27" s="69"/>
      <c r="P27" s="69"/>
      <c r="Q27" s="70"/>
      <c r="R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6" ht="15" customHeight="1" x14ac:dyDescent="0.25">
      <c r="A29" s="74" t="s">
        <v>15</v>
      </c>
      <c r="B29" s="74"/>
      <c r="C29" s="7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6" ht="15" customHeight="1" x14ac:dyDescent="0.25">
      <c r="A30" s="74"/>
      <c r="B30" s="75"/>
      <c r="C30" s="7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6" x14ac:dyDescent="0.25">
      <c r="A31" s="1"/>
      <c r="B31" s="49" t="s">
        <v>9</v>
      </c>
      <c r="C31" s="49"/>
      <c r="D31" s="49" t="s">
        <v>10</v>
      </c>
      <c r="E31" s="49"/>
      <c r="F31" s="60" t="s">
        <v>11</v>
      </c>
      <c r="G31" s="61"/>
      <c r="H31" s="54"/>
      <c r="I31" s="54"/>
      <c r="J31" s="1"/>
      <c r="K31" s="1"/>
      <c r="L31" s="1"/>
      <c r="M31" s="1"/>
      <c r="N31" s="1"/>
      <c r="O31" s="1"/>
      <c r="P31" s="1"/>
      <c r="Q31" s="1"/>
      <c r="R31" s="1"/>
    </row>
    <row r="32" spans="1:26" x14ac:dyDescent="0.25">
      <c r="A32" s="1"/>
      <c r="B32" s="9" t="s">
        <v>6</v>
      </c>
      <c r="C32" s="9" t="s">
        <v>7</v>
      </c>
      <c r="D32" s="9" t="s">
        <v>6</v>
      </c>
      <c r="E32" s="9" t="s">
        <v>7</v>
      </c>
      <c r="F32" s="9" t="s">
        <v>78</v>
      </c>
      <c r="G32" s="9" t="s">
        <v>7</v>
      </c>
      <c r="H32" s="10"/>
      <c r="I32" s="10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9">
        <v>2.9910000000000001</v>
      </c>
      <c r="C33" s="9">
        <v>0</v>
      </c>
      <c r="D33" s="9">
        <v>11.2</v>
      </c>
      <c r="E33" s="9">
        <v>0</v>
      </c>
      <c r="F33" s="9">
        <v>188</v>
      </c>
      <c r="G33" s="9">
        <v>0</v>
      </c>
      <c r="H33" s="10"/>
      <c r="I33" s="10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51">
    <mergeCell ref="A29:C30"/>
    <mergeCell ref="S7:T7"/>
    <mergeCell ref="U7:V7"/>
    <mergeCell ref="S8:T8"/>
    <mergeCell ref="U8:V8"/>
    <mergeCell ref="B8:C8"/>
    <mergeCell ref="D8:E8"/>
    <mergeCell ref="F8:G8"/>
    <mergeCell ref="H8:I8"/>
    <mergeCell ref="J8:K8"/>
    <mergeCell ref="L8:M8"/>
    <mergeCell ref="L7:M7"/>
    <mergeCell ref="N7:P7"/>
    <mergeCell ref="Q7:R7"/>
    <mergeCell ref="A12:C13"/>
    <mergeCell ref="D12:F13"/>
    <mergeCell ref="B31:C31"/>
    <mergeCell ref="D31:E31"/>
    <mergeCell ref="F31:G31"/>
    <mergeCell ref="H31:I31"/>
    <mergeCell ref="I18:K18"/>
    <mergeCell ref="B19:D19"/>
    <mergeCell ref="E19:F19"/>
    <mergeCell ref="G19:H19"/>
    <mergeCell ref="I19:J19"/>
    <mergeCell ref="A21:C22"/>
    <mergeCell ref="D21:F22"/>
    <mergeCell ref="G18:H18"/>
    <mergeCell ref="A25:C26"/>
    <mergeCell ref="D25:F26"/>
    <mergeCell ref="G25:H26"/>
    <mergeCell ref="J25:Q27"/>
    <mergeCell ref="A16:C17"/>
    <mergeCell ref="B18:D18"/>
    <mergeCell ref="E18:F18"/>
    <mergeCell ref="O9:P9"/>
    <mergeCell ref="Q9:R9"/>
    <mergeCell ref="O10:P10"/>
    <mergeCell ref="Q10:R10"/>
    <mergeCell ref="Q12:S13"/>
    <mergeCell ref="A5:C6"/>
    <mergeCell ref="B7:C7"/>
    <mergeCell ref="D7:E7"/>
    <mergeCell ref="F7:G7"/>
    <mergeCell ref="H7:I7"/>
    <mergeCell ref="T12:V13"/>
    <mergeCell ref="S25:U26"/>
    <mergeCell ref="V25:X26"/>
    <mergeCell ref="Y25:Z26"/>
    <mergeCell ref="D2:J4"/>
    <mergeCell ref="J7:K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opLeftCell="A7" workbookViewId="0">
      <selection activeCell="L45" sqref="L45"/>
    </sheetView>
  </sheetViews>
  <sheetFormatPr defaultRowHeight="15" x14ac:dyDescent="0.25"/>
  <cols>
    <col min="2" max="2" width="11.42578125" bestFit="1" customWidth="1"/>
    <col min="4" max="4" width="11.42578125" bestFit="1" customWidth="1"/>
    <col min="6" max="6" width="11.5703125" bestFit="1" customWidth="1"/>
    <col min="8" max="8" width="11.42578125" bestFit="1" customWidth="1"/>
    <col min="10" max="10" width="11.42578125" customWidth="1"/>
    <col min="12" max="12" width="11.140625" customWidth="1"/>
    <col min="14" max="14" width="12.28515625" customWidth="1"/>
    <col min="18" max="18" width="11.85546875" customWidth="1"/>
    <col min="19" max="19" width="11.42578125" bestFit="1" customWidth="1"/>
    <col min="21" max="21" width="11.42578125" bestFit="1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5">
      <c r="A2" s="1"/>
      <c r="B2" s="1"/>
      <c r="C2" s="1"/>
      <c r="D2" s="51" t="s">
        <v>34</v>
      </c>
      <c r="E2" s="51"/>
      <c r="F2" s="51"/>
      <c r="G2" s="51"/>
      <c r="H2" s="51"/>
      <c r="I2" s="51"/>
      <c r="J2" s="51"/>
      <c r="K2" s="1"/>
      <c r="L2" s="1"/>
      <c r="M2" s="1"/>
      <c r="N2" s="1"/>
      <c r="O2" s="1"/>
      <c r="P2" s="1"/>
      <c r="Q2" s="1"/>
      <c r="R2" s="1"/>
    </row>
    <row r="3" spans="1:22" x14ac:dyDescent="0.25">
      <c r="A3" s="1"/>
      <c r="B3" s="1"/>
      <c r="C3" s="1"/>
      <c r="D3" s="51"/>
      <c r="E3" s="51"/>
      <c r="F3" s="51"/>
      <c r="G3" s="51"/>
      <c r="H3" s="51"/>
      <c r="I3" s="51"/>
      <c r="J3" s="51"/>
      <c r="K3" s="1"/>
      <c r="L3" s="1"/>
      <c r="M3" s="1"/>
      <c r="N3" s="1"/>
      <c r="O3" s="1"/>
      <c r="P3" s="1"/>
      <c r="Q3" s="1"/>
      <c r="R3" s="1"/>
    </row>
    <row r="4" spans="1:22" x14ac:dyDescent="0.25">
      <c r="A4" s="1"/>
      <c r="B4" s="1"/>
      <c r="C4" s="1"/>
      <c r="D4" s="51"/>
      <c r="E4" s="51"/>
      <c r="F4" s="51"/>
      <c r="G4" s="51"/>
      <c r="H4" s="51"/>
      <c r="I4" s="51"/>
      <c r="J4" s="51"/>
      <c r="K4" s="1"/>
      <c r="L4" s="1"/>
      <c r="M4" s="1"/>
      <c r="N4" s="1"/>
      <c r="O4" s="1"/>
      <c r="P4" s="1"/>
      <c r="Q4" s="1"/>
      <c r="R4" s="1"/>
    </row>
    <row r="5" spans="1:22" x14ac:dyDescent="0.25">
      <c r="A5" s="74" t="s">
        <v>13</v>
      </c>
      <c r="B5" s="74"/>
      <c r="C5" s="7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2" x14ac:dyDescent="0.25">
      <c r="A6" s="74"/>
      <c r="B6" s="75"/>
      <c r="C6" s="7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2" x14ac:dyDescent="0.25">
      <c r="A7" s="1"/>
      <c r="B7" s="76" t="s">
        <v>0</v>
      </c>
      <c r="C7" s="76"/>
      <c r="D7" s="77" t="s">
        <v>1</v>
      </c>
      <c r="E7" s="77"/>
      <c r="F7" s="78" t="s">
        <v>2</v>
      </c>
      <c r="G7" s="78"/>
      <c r="H7" s="79" t="s">
        <v>3</v>
      </c>
      <c r="I7" s="79"/>
      <c r="J7" s="73" t="s">
        <v>4</v>
      </c>
      <c r="K7" s="73"/>
      <c r="L7" s="97" t="s">
        <v>5</v>
      </c>
      <c r="M7" s="97"/>
      <c r="N7" s="77" t="s">
        <v>8</v>
      </c>
      <c r="O7" s="77"/>
      <c r="P7" s="77"/>
      <c r="Q7" s="77" t="s">
        <v>16</v>
      </c>
      <c r="R7" s="77"/>
      <c r="S7" s="84" t="s">
        <v>48</v>
      </c>
      <c r="T7" s="84"/>
      <c r="U7" s="84" t="s">
        <v>49</v>
      </c>
      <c r="V7" s="84"/>
    </row>
    <row r="8" spans="1:22" s="1" customFormat="1" x14ac:dyDescent="0.25">
      <c r="B8" s="85" t="s">
        <v>35</v>
      </c>
      <c r="C8" s="86"/>
      <c r="D8" s="87" t="s">
        <v>36</v>
      </c>
      <c r="E8" s="88"/>
      <c r="F8" s="89" t="s">
        <v>37</v>
      </c>
      <c r="G8" s="90"/>
      <c r="H8" s="91" t="s">
        <v>38</v>
      </c>
      <c r="I8" s="92"/>
      <c r="J8" s="93" t="s">
        <v>39</v>
      </c>
      <c r="K8" s="94"/>
      <c r="L8" s="95" t="s">
        <v>40</v>
      </c>
      <c r="M8" s="96"/>
      <c r="N8" s="22"/>
      <c r="O8" s="22"/>
      <c r="P8" s="22"/>
      <c r="Q8" s="22"/>
      <c r="R8" s="22"/>
      <c r="S8" s="84" t="s">
        <v>50</v>
      </c>
      <c r="T8" s="84"/>
      <c r="U8" s="84" t="s">
        <v>51</v>
      </c>
      <c r="V8" s="84"/>
    </row>
    <row r="9" spans="1:22" x14ac:dyDescent="0.25">
      <c r="A9" s="1"/>
      <c r="B9" s="17" t="s">
        <v>6</v>
      </c>
      <c r="C9" s="17" t="s">
        <v>7</v>
      </c>
      <c r="D9" s="9" t="s">
        <v>6</v>
      </c>
      <c r="E9" s="9" t="s">
        <v>7</v>
      </c>
      <c r="F9" s="19" t="s">
        <v>6</v>
      </c>
      <c r="G9" s="19" t="s">
        <v>7</v>
      </c>
      <c r="H9" s="20" t="s">
        <v>6</v>
      </c>
      <c r="I9" s="20" t="s">
        <v>7</v>
      </c>
      <c r="J9" s="11" t="s">
        <v>6</v>
      </c>
      <c r="K9" s="11" t="s">
        <v>7</v>
      </c>
      <c r="L9" s="21" t="s">
        <v>6</v>
      </c>
      <c r="M9" s="21" t="s">
        <v>7</v>
      </c>
      <c r="N9" s="9" t="s">
        <v>6</v>
      </c>
      <c r="O9" s="49" t="s">
        <v>7</v>
      </c>
      <c r="P9" s="49"/>
      <c r="Q9" s="49" t="s">
        <v>17</v>
      </c>
      <c r="R9" s="49"/>
      <c r="S9" s="25" t="s">
        <v>6</v>
      </c>
      <c r="T9" s="25" t="s">
        <v>52</v>
      </c>
      <c r="U9" s="25" t="s">
        <v>6</v>
      </c>
      <c r="V9" s="25" t="s">
        <v>52</v>
      </c>
    </row>
    <row r="10" spans="1:22" x14ac:dyDescent="0.25">
      <c r="A10" s="1"/>
      <c r="B10" s="18">
        <v>26.5</v>
      </c>
      <c r="C10" s="17">
        <f>B10*4500</f>
        <v>119250</v>
      </c>
      <c r="D10" s="12">
        <v>21.6</v>
      </c>
      <c r="E10" s="12">
        <f>21.6*865</f>
        <v>18684</v>
      </c>
      <c r="F10" s="19">
        <v>16.079999999999998</v>
      </c>
      <c r="G10" s="19">
        <f>16.08*9850</f>
        <v>158387.99999999997</v>
      </c>
      <c r="H10" s="20">
        <v>241.9</v>
      </c>
      <c r="I10" s="20">
        <f>241.9*2350</f>
        <v>568465</v>
      </c>
      <c r="J10" s="11">
        <v>97.02</v>
      </c>
      <c r="K10" s="11">
        <f>97.02*2500</f>
        <v>242550</v>
      </c>
      <c r="L10" s="21">
        <v>2.79</v>
      </c>
      <c r="M10" s="21">
        <f>2.79*2635</f>
        <v>7351.6500000000005</v>
      </c>
      <c r="N10" s="12">
        <v>121.39</v>
      </c>
      <c r="O10" s="83">
        <v>206728.3</v>
      </c>
      <c r="P10" s="83"/>
      <c r="Q10" s="83">
        <v>80000</v>
      </c>
      <c r="R10" s="83"/>
      <c r="S10" s="16">
        <v>1.569</v>
      </c>
      <c r="T10" s="16">
        <f>S10*11000</f>
        <v>17259</v>
      </c>
      <c r="U10" s="16">
        <v>0.746</v>
      </c>
      <c r="V10" s="16">
        <f>U10*1100</f>
        <v>820.6</v>
      </c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2" x14ac:dyDescent="0.25">
      <c r="A12" s="55" t="s">
        <v>18</v>
      </c>
      <c r="B12" s="55"/>
      <c r="C12" s="55"/>
      <c r="D12" s="56">
        <f>C10+E10+G10+I10+K10+M10+O10+Q10</f>
        <v>1401416.95</v>
      </c>
      <c r="E12" s="56"/>
      <c r="F12" s="5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2" x14ac:dyDescent="0.25">
      <c r="A13" s="55"/>
      <c r="B13" s="55"/>
      <c r="C13" s="55"/>
      <c r="D13" s="56"/>
      <c r="E13" s="56"/>
      <c r="F13" s="5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5"/>
      <c r="N14" s="1"/>
      <c r="O14" s="1"/>
      <c r="P14" s="1"/>
      <c r="Q14" s="1"/>
      <c r="R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2" x14ac:dyDescent="0.25">
      <c r="A16" s="74" t="s">
        <v>14</v>
      </c>
      <c r="B16" s="74"/>
      <c r="C16" s="7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74"/>
      <c r="B17" s="75"/>
      <c r="C17" s="7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80" t="s">
        <v>23</v>
      </c>
      <c r="C18" s="81"/>
      <c r="D18" s="82"/>
      <c r="E18" s="77" t="s">
        <v>24</v>
      </c>
      <c r="F18" s="77"/>
      <c r="G18" s="77" t="s">
        <v>25</v>
      </c>
      <c r="H18" s="77"/>
      <c r="I18" s="54"/>
      <c r="J18" s="54"/>
      <c r="K18" s="54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49">
        <v>1106113</v>
      </c>
      <c r="C19" s="49"/>
      <c r="D19" s="49"/>
      <c r="E19" s="49">
        <v>41487</v>
      </c>
      <c r="F19" s="49"/>
      <c r="G19" s="49">
        <v>236911.05</v>
      </c>
      <c r="H19" s="49"/>
      <c r="I19" s="54"/>
      <c r="J19" s="54"/>
      <c r="K19" s="5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55" t="s">
        <v>19</v>
      </c>
      <c r="B21" s="55"/>
      <c r="C21" s="55"/>
      <c r="D21" s="56">
        <f>B19+E19+G19</f>
        <v>1384511.05</v>
      </c>
      <c r="E21" s="56"/>
      <c r="F21" s="5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55"/>
      <c r="B22" s="55"/>
      <c r="C22" s="55"/>
      <c r="D22" s="56"/>
      <c r="E22" s="56"/>
      <c r="F22" s="5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55" t="s">
        <v>20</v>
      </c>
      <c r="B25" s="55"/>
      <c r="C25" s="55"/>
      <c r="D25" s="56">
        <f>D21-D12</f>
        <v>-16905.899999999907</v>
      </c>
      <c r="E25" s="56"/>
      <c r="F25" s="56"/>
      <c r="G25" s="56" t="s">
        <v>22</v>
      </c>
      <c r="H25" s="56"/>
      <c r="I25" s="1"/>
      <c r="J25" s="98" t="s">
        <v>70</v>
      </c>
      <c r="K25" s="99"/>
      <c r="L25" s="99"/>
      <c r="M25" s="99"/>
      <c r="N25" s="99"/>
      <c r="O25" s="99"/>
      <c r="P25" s="99"/>
      <c r="Q25" s="100"/>
      <c r="R25" s="1"/>
    </row>
    <row r="26" spans="1:18" x14ac:dyDescent="0.25">
      <c r="A26" s="55"/>
      <c r="B26" s="55"/>
      <c r="C26" s="55"/>
      <c r="D26" s="56"/>
      <c r="E26" s="56"/>
      <c r="F26" s="56"/>
      <c r="G26" s="56"/>
      <c r="H26" s="56"/>
      <c r="I26" s="1"/>
      <c r="J26" s="101"/>
      <c r="K26" s="102"/>
      <c r="L26" s="102"/>
      <c r="M26" s="102"/>
      <c r="N26" s="102"/>
      <c r="O26" s="102"/>
      <c r="P26" s="102"/>
      <c r="Q26" s="103"/>
      <c r="R26" s="1"/>
    </row>
    <row r="27" spans="1:18" x14ac:dyDescent="0.25">
      <c r="A27" s="1"/>
      <c r="B27" s="2"/>
      <c r="C27" s="1"/>
      <c r="D27" s="1"/>
      <c r="E27" s="1"/>
      <c r="F27" s="1"/>
      <c r="G27" s="1"/>
      <c r="H27" s="1"/>
      <c r="I27" s="1"/>
      <c r="J27" s="104"/>
      <c r="K27" s="105"/>
      <c r="L27" s="105"/>
      <c r="M27" s="105"/>
      <c r="N27" s="105"/>
      <c r="O27" s="105"/>
      <c r="P27" s="105"/>
      <c r="Q27" s="106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74" t="s">
        <v>15</v>
      </c>
      <c r="B29" s="74"/>
      <c r="C29" s="7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74"/>
      <c r="B30" s="75"/>
      <c r="C30" s="7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49" t="s">
        <v>9</v>
      </c>
      <c r="C31" s="49"/>
      <c r="D31" s="49" t="s">
        <v>10</v>
      </c>
      <c r="E31" s="49"/>
      <c r="F31" s="60" t="s">
        <v>11</v>
      </c>
      <c r="G31" s="61"/>
      <c r="H31" s="54"/>
      <c r="I31" s="54"/>
      <c r="J31" s="107" t="s">
        <v>69</v>
      </c>
      <c r="K31" s="107"/>
      <c r="L31" s="107"/>
      <c r="M31" s="107"/>
      <c r="N31" s="107"/>
      <c r="O31" s="107"/>
      <c r="P31" s="107"/>
      <c r="Q31" s="107"/>
      <c r="R31" s="1"/>
    </row>
    <row r="32" spans="1:18" x14ac:dyDescent="0.25">
      <c r="A32" s="1"/>
      <c r="B32" s="9" t="s">
        <v>6</v>
      </c>
      <c r="C32" s="9" t="s">
        <v>7</v>
      </c>
      <c r="D32" s="9" t="s">
        <v>6</v>
      </c>
      <c r="E32" s="9" t="s">
        <v>7</v>
      </c>
      <c r="F32" s="9" t="s">
        <v>21</v>
      </c>
      <c r="G32" s="9" t="s">
        <v>7</v>
      </c>
      <c r="H32" s="10"/>
      <c r="I32" s="10"/>
      <c r="J32" s="107"/>
      <c r="K32" s="107"/>
      <c r="L32" s="107"/>
      <c r="M32" s="107"/>
      <c r="N32" s="107"/>
      <c r="O32" s="107"/>
      <c r="P32" s="107"/>
      <c r="Q32" s="107"/>
      <c r="R32" s="1"/>
    </row>
    <row r="33" spans="1:18" x14ac:dyDescent="0.25">
      <c r="A33" s="1"/>
      <c r="B33" s="9"/>
      <c r="C33" s="9">
        <v>0</v>
      </c>
      <c r="D33" s="9"/>
      <c r="E33" s="9">
        <v>0</v>
      </c>
      <c r="F33" s="9"/>
      <c r="G33" s="9">
        <v>0</v>
      </c>
      <c r="H33" s="10"/>
      <c r="I33" s="10"/>
      <c r="J33" s="107"/>
      <c r="K33" s="107"/>
      <c r="L33" s="107"/>
      <c r="M33" s="107"/>
      <c r="N33" s="107"/>
      <c r="O33" s="107"/>
      <c r="P33" s="107"/>
      <c r="Q33" s="107"/>
      <c r="R33" s="1"/>
    </row>
  </sheetData>
  <mergeCells count="47">
    <mergeCell ref="J31:Q33"/>
    <mergeCell ref="L8:M8"/>
    <mergeCell ref="L7:M7"/>
    <mergeCell ref="N7:P7"/>
    <mergeCell ref="Q7:R7"/>
    <mergeCell ref="O9:P9"/>
    <mergeCell ref="Q9:R9"/>
    <mergeCell ref="O10:P10"/>
    <mergeCell ref="Q10:R10"/>
    <mergeCell ref="J8:K8"/>
    <mergeCell ref="S7:T7"/>
    <mergeCell ref="U7:V7"/>
    <mergeCell ref="U8:V8"/>
    <mergeCell ref="S8:T8"/>
    <mergeCell ref="A29:C30"/>
    <mergeCell ref="B8:C8"/>
    <mergeCell ref="D8:E8"/>
    <mergeCell ref="F8:G8"/>
    <mergeCell ref="H8:I8"/>
    <mergeCell ref="A12:C13"/>
    <mergeCell ref="D12:F13"/>
    <mergeCell ref="A16:C17"/>
    <mergeCell ref="B18:D18"/>
    <mergeCell ref="E18:F18"/>
    <mergeCell ref="B31:C31"/>
    <mergeCell ref="D31:E31"/>
    <mergeCell ref="F31:G31"/>
    <mergeCell ref="H31:I31"/>
    <mergeCell ref="I18:K18"/>
    <mergeCell ref="B19:D19"/>
    <mergeCell ref="E19:F19"/>
    <mergeCell ref="G19:H19"/>
    <mergeCell ref="I19:J19"/>
    <mergeCell ref="A21:C22"/>
    <mergeCell ref="D21:F22"/>
    <mergeCell ref="G18:H18"/>
    <mergeCell ref="A25:C26"/>
    <mergeCell ref="D25:F26"/>
    <mergeCell ref="G25:H26"/>
    <mergeCell ref="J25:Q27"/>
    <mergeCell ref="D2:J4"/>
    <mergeCell ref="A5:C6"/>
    <mergeCell ref="B7:C7"/>
    <mergeCell ref="D7:E7"/>
    <mergeCell ref="F7:G7"/>
    <mergeCell ref="H7:I7"/>
    <mergeCell ref="J7:K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workbookViewId="0">
      <selection activeCell="J31" sqref="J31:Q33"/>
    </sheetView>
  </sheetViews>
  <sheetFormatPr defaultRowHeight="15" x14ac:dyDescent="0.25"/>
  <cols>
    <col min="2" max="2" width="11.42578125" bestFit="1" customWidth="1"/>
    <col min="3" max="3" width="8.5703125" bestFit="1" customWidth="1"/>
    <col min="4" max="4" width="11.42578125" bestFit="1" customWidth="1"/>
    <col min="6" max="6" width="11.5703125" bestFit="1" customWidth="1"/>
    <col min="8" max="8" width="11.42578125" bestFit="1" customWidth="1"/>
    <col min="10" max="10" width="13" customWidth="1"/>
    <col min="12" max="12" width="11.42578125" bestFit="1" customWidth="1"/>
    <col min="14" max="14" width="16" customWidth="1"/>
    <col min="15" max="15" width="15.5703125" bestFit="1" customWidth="1"/>
    <col min="18" max="18" width="11" customWidth="1"/>
    <col min="19" max="19" width="11.42578125" bestFit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51" t="s">
        <v>80</v>
      </c>
      <c r="E2" s="51"/>
      <c r="F2" s="51"/>
      <c r="G2" s="51"/>
      <c r="H2" s="51"/>
      <c r="I2" s="51"/>
      <c r="J2" s="5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51"/>
      <c r="E3" s="51"/>
      <c r="F3" s="51"/>
      <c r="G3" s="51"/>
      <c r="H3" s="51"/>
      <c r="I3" s="51"/>
      <c r="J3" s="5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/>
      <c r="B4" s="1"/>
      <c r="C4" s="1"/>
      <c r="D4" s="51"/>
      <c r="E4" s="51"/>
      <c r="F4" s="51"/>
      <c r="G4" s="51"/>
      <c r="H4" s="51"/>
      <c r="I4" s="51"/>
      <c r="J4" s="5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74" t="s">
        <v>13</v>
      </c>
      <c r="B5" s="74"/>
      <c r="C5" s="7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74"/>
      <c r="B6" s="75"/>
      <c r="C6" s="7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76" t="s">
        <v>0</v>
      </c>
      <c r="C7" s="76"/>
      <c r="D7" s="77" t="s">
        <v>1</v>
      </c>
      <c r="E7" s="77"/>
      <c r="F7" s="78" t="s">
        <v>2</v>
      </c>
      <c r="G7" s="78"/>
      <c r="H7" s="79" t="s">
        <v>3</v>
      </c>
      <c r="I7" s="79"/>
      <c r="J7" s="73" t="s">
        <v>4</v>
      </c>
      <c r="K7" s="73"/>
      <c r="L7" s="97" t="s">
        <v>5</v>
      </c>
      <c r="M7" s="97"/>
      <c r="N7" s="77" t="s">
        <v>8</v>
      </c>
      <c r="O7" s="77"/>
      <c r="P7" s="77"/>
      <c r="Q7" s="77" t="s">
        <v>16</v>
      </c>
      <c r="R7" s="77"/>
      <c r="S7" s="84" t="s">
        <v>48</v>
      </c>
      <c r="T7" s="84"/>
    </row>
    <row r="8" spans="1:20" x14ac:dyDescent="0.25">
      <c r="A8" s="1"/>
      <c r="B8" s="85" t="s">
        <v>35</v>
      </c>
      <c r="C8" s="86"/>
      <c r="D8" s="87" t="s">
        <v>36</v>
      </c>
      <c r="E8" s="88"/>
      <c r="F8" s="89" t="s">
        <v>37</v>
      </c>
      <c r="G8" s="90"/>
      <c r="H8" s="91" t="s">
        <v>38</v>
      </c>
      <c r="I8" s="92"/>
      <c r="J8" s="93" t="s">
        <v>39</v>
      </c>
      <c r="K8" s="94"/>
      <c r="L8" s="95" t="s">
        <v>40</v>
      </c>
      <c r="M8" s="96"/>
      <c r="N8" s="45"/>
      <c r="O8" s="45"/>
      <c r="P8" s="45"/>
      <c r="Q8" s="45"/>
      <c r="R8" s="45"/>
      <c r="S8" s="84" t="s">
        <v>50</v>
      </c>
      <c r="T8" s="84"/>
    </row>
    <row r="9" spans="1:20" x14ac:dyDescent="0.25">
      <c r="A9" s="1"/>
      <c r="B9" s="17" t="s">
        <v>6</v>
      </c>
      <c r="C9" s="17" t="s">
        <v>7</v>
      </c>
      <c r="D9" s="42" t="s">
        <v>6</v>
      </c>
      <c r="E9" s="42" t="s">
        <v>7</v>
      </c>
      <c r="F9" s="19" t="s">
        <v>6</v>
      </c>
      <c r="G9" s="19" t="s">
        <v>7</v>
      </c>
      <c r="H9" s="20" t="s">
        <v>6</v>
      </c>
      <c r="I9" s="20" t="s">
        <v>7</v>
      </c>
      <c r="J9" s="11" t="s">
        <v>6</v>
      </c>
      <c r="K9" s="11" t="s">
        <v>7</v>
      </c>
      <c r="L9" s="21" t="s">
        <v>6</v>
      </c>
      <c r="M9" s="21" t="s">
        <v>7</v>
      </c>
      <c r="N9" s="42" t="s">
        <v>6</v>
      </c>
      <c r="O9" s="49" t="s">
        <v>7</v>
      </c>
      <c r="P9" s="49"/>
      <c r="Q9" s="49" t="s">
        <v>17</v>
      </c>
      <c r="R9" s="49"/>
      <c r="S9" s="25" t="s">
        <v>6</v>
      </c>
      <c r="T9" s="25" t="s">
        <v>52</v>
      </c>
    </row>
    <row r="10" spans="1:20" x14ac:dyDescent="0.25">
      <c r="A10" s="1"/>
      <c r="B10" s="18">
        <v>26.5</v>
      </c>
      <c r="C10" s="17">
        <f>B10*4500</f>
        <v>119250</v>
      </c>
      <c r="D10" s="46">
        <v>20.48</v>
      </c>
      <c r="E10" s="46">
        <f>D10*865</f>
        <v>17715.2</v>
      </c>
      <c r="F10" s="19">
        <v>15.02</v>
      </c>
      <c r="G10" s="19">
        <f>F10*9850</f>
        <v>147947</v>
      </c>
      <c r="H10" s="20">
        <v>249.12</v>
      </c>
      <c r="I10" s="20">
        <f>H10*2350</f>
        <v>585432</v>
      </c>
      <c r="J10" s="11">
        <v>67.150000000000006</v>
      </c>
      <c r="K10" s="11">
        <f>J10*2500</f>
        <v>167875</v>
      </c>
      <c r="L10" s="21">
        <v>6.88</v>
      </c>
      <c r="M10" s="21">
        <f>L10*2635</f>
        <v>18128.8</v>
      </c>
      <c r="N10" s="46">
        <v>111.34</v>
      </c>
      <c r="O10" s="83">
        <v>206728.3</v>
      </c>
      <c r="P10" s="83"/>
      <c r="Q10" s="83">
        <v>75000</v>
      </c>
      <c r="R10" s="83"/>
      <c r="S10" s="44">
        <v>1.782</v>
      </c>
      <c r="T10" s="44">
        <f>S10*11000</f>
        <v>19602</v>
      </c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55" t="s">
        <v>18</v>
      </c>
      <c r="B12" s="55"/>
      <c r="C12" s="55"/>
      <c r="D12" s="56">
        <f>C10+E10+G10+I10+K10+M10+O10+Q10</f>
        <v>1338076.3</v>
      </c>
      <c r="E12" s="56"/>
      <c r="F12" s="56"/>
      <c r="G12" s="1"/>
      <c r="H12" s="112" t="s">
        <v>82</v>
      </c>
      <c r="I12" s="112"/>
      <c r="J12" s="112"/>
      <c r="K12" s="111">
        <f>1338076.3/100*10</f>
        <v>133807.63</v>
      </c>
      <c r="L12" s="111"/>
      <c r="M12" s="111"/>
      <c r="N12" s="111"/>
      <c r="O12" s="1"/>
      <c r="P12" s="1"/>
      <c r="Q12" s="1"/>
      <c r="R12" s="1"/>
      <c r="S12" s="1"/>
      <c r="T12" s="1"/>
    </row>
    <row r="13" spans="1:20" x14ac:dyDescent="0.25">
      <c r="A13" s="55"/>
      <c r="B13" s="55"/>
      <c r="C13" s="55"/>
      <c r="D13" s="56"/>
      <c r="E13" s="56"/>
      <c r="F13" s="56"/>
      <c r="G13" s="1"/>
      <c r="H13" s="112"/>
      <c r="I13" s="112"/>
      <c r="J13" s="112"/>
      <c r="K13" s="111"/>
      <c r="L13" s="111"/>
      <c r="M13" s="111"/>
      <c r="N13" s="11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5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74" t="s">
        <v>14</v>
      </c>
      <c r="B16" s="74"/>
      <c r="C16" s="7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74"/>
      <c r="B17" s="75"/>
      <c r="C17" s="7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80" t="s">
        <v>23</v>
      </c>
      <c r="C18" s="81"/>
      <c r="D18" s="82"/>
      <c r="E18" s="77" t="s">
        <v>24</v>
      </c>
      <c r="F18" s="77"/>
      <c r="G18" s="77" t="s">
        <v>25</v>
      </c>
      <c r="H18" s="77"/>
      <c r="I18" s="54"/>
      <c r="J18" s="54"/>
      <c r="K18" s="54"/>
      <c r="L18" s="1"/>
      <c r="M18" s="1"/>
      <c r="N18" s="1"/>
      <c r="O18" s="1"/>
      <c r="P18" s="1"/>
      <c r="Q18" s="1"/>
      <c r="R18" s="1"/>
      <c r="S18" s="1"/>
      <c r="T18" s="1"/>
    </row>
    <row r="19" spans="1:20" ht="21" x14ac:dyDescent="0.35">
      <c r="A19" s="1"/>
      <c r="B19" s="49">
        <v>1152100</v>
      </c>
      <c r="C19" s="49"/>
      <c r="D19" s="49"/>
      <c r="E19" s="49">
        <v>36699</v>
      </c>
      <c r="F19" s="49"/>
      <c r="G19" s="49">
        <v>134424</v>
      </c>
      <c r="H19" s="49"/>
      <c r="I19" s="54"/>
      <c r="J19" s="54"/>
      <c r="K19" s="5"/>
      <c r="L19" s="15" t="s">
        <v>84</v>
      </c>
      <c r="M19" s="15"/>
      <c r="N19" s="1">
        <f>D21/700</f>
        <v>1890.3185714285714</v>
      </c>
      <c r="O19" s="113">
        <f>N19*770</f>
        <v>1455545.3</v>
      </c>
      <c r="P19" s="1"/>
      <c r="Q19" s="1"/>
      <c r="R19" s="1"/>
      <c r="S19" s="1"/>
      <c r="T19" s="1"/>
    </row>
    <row r="20" spans="1:20" ht="2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5" t="s">
        <v>85</v>
      </c>
      <c r="M20" s="15"/>
      <c r="N20" s="114">
        <f>D12+K12</f>
        <v>1471883.9300000002</v>
      </c>
      <c r="O20" s="1"/>
      <c r="P20" s="1"/>
      <c r="Q20" s="1"/>
      <c r="R20" s="1"/>
      <c r="S20" s="1"/>
      <c r="T20" s="1"/>
    </row>
    <row r="21" spans="1:20" x14ac:dyDescent="0.25">
      <c r="A21" s="55" t="s">
        <v>19</v>
      </c>
      <c r="B21" s="55"/>
      <c r="C21" s="55"/>
      <c r="D21" s="56">
        <f>B19+E19+G19</f>
        <v>1323223</v>
      </c>
      <c r="E21" s="56"/>
      <c r="F21" s="56"/>
      <c r="G21" s="1"/>
      <c r="H21" s="1"/>
      <c r="I21" s="1"/>
      <c r="J21" s="1"/>
      <c r="K21" s="1"/>
      <c r="L21" s="1"/>
      <c r="M21" s="1"/>
      <c r="N21" s="1">
        <f>O1</f>
        <v>0</v>
      </c>
      <c r="O21" s="1"/>
      <c r="P21" s="1"/>
      <c r="Q21" s="1"/>
      <c r="R21" s="1"/>
      <c r="S21" s="1"/>
      <c r="T21" s="1"/>
    </row>
    <row r="22" spans="1:20" ht="21" x14ac:dyDescent="0.35">
      <c r="A22" s="55"/>
      <c r="B22" s="55"/>
      <c r="C22" s="55"/>
      <c r="D22" s="56"/>
      <c r="E22" s="56"/>
      <c r="F22" s="56"/>
      <c r="G22" s="1"/>
      <c r="H22" s="1"/>
      <c r="I22" s="1"/>
      <c r="J22" s="1"/>
      <c r="K22" s="1"/>
      <c r="L22" s="15" t="s">
        <v>20</v>
      </c>
      <c r="M22" s="1"/>
      <c r="N22" s="23">
        <f>O19-N20</f>
        <v>-16338.630000000121</v>
      </c>
      <c r="O22" s="1"/>
      <c r="P22" s="1"/>
      <c r="Q22" s="1"/>
      <c r="R22" s="1"/>
      <c r="S22" s="1"/>
      <c r="T22" s="1"/>
    </row>
    <row r="23" spans="1:20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55" t="s">
        <v>20</v>
      </c>
      <c r="B25" s="55"/>
      <c r="C25" s="55"/>
      <c r="D25" s="56">
        <f>D21-D12</f>
        <v>-14853.300000000047</v>
      </c>
      <c r="E25" s="56"/>
      <c r="F25" s="56"/>
      <c r="G25" s="56" t="s">
        <v>22</v>
      </c>
      <c r="H25" s="56"/>
      <c r="I25" s="1"/>
      <c r="J25" s="98" t="s">
        <v>81</v>
      </c>
      <c r="K25" s="99"/>
      <c r="L25" s="99"/>
      <c r="M25" s="99"/>
      <c r="N25" s="99"/>
      <c r="O25" s="99"/>
      <c r="P25" s="99"/>
      <c r="Q25" s="100"/>
      <c r="R25" s="1"/>
      <c r="S25" s="1"/>
      <c r="T25" s="1"/>
    </row>
    <row r="26" spans="1:20" x14ac:dyDescent="0.25">
      <c r="A26" s="55"/>
      <c r="B26" s="55"/>
      <c r="C26" s="55"/>
      <c r="D26" s="56"/>
      <c r="E26" s="56"/>
      <c r="F26" s="56"/>
      <c r="G26" s="56"/>
      <c r="H26" s="56"/>
      <c r="I26" s="1"/>
      <c r="J26" s="101"/>
      <c r="K26" s="102"/>
      <c r="L26" s="102"/>
      <c r="M26" s="102"/>
      <c r="N26" s="102"/>
      <c r="O26" s="102"/>
      <c r="P26" s="102"/>
      <c r="Q26" s="103"/>
      <c r="R26" s="1"/>
      <c r="S26" s="1"/>
      <c r="T26" s="1"/>
    </row>
    <row r="27" spans="1:20" x14ac:dyDescent="0.25">
      <c r="A27" s="1"/>
      <c r="B27" s="2"/>
      <c r="C27" s="1"/>
      <c r="D27" s="1"/>
      <c r="E27" s="1"/>
      <c r="F27" s="1"/>
      <c r="G27" s="1"/>
      <c r="H27" s="1"/>
      <c r="I27" s="1"/>
      <c r="J27" s="104"/>
      <c r="K27" s="105"/>
      <c r="L27" s="105"/>
      <c r="M27" s="105"/>
      <c r="N27" s="105"/>
      <c r="O27" s="105"/>
      <c r="P27" s="105"/>
      <c r="Q27" s="106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74" t="s">
        <v>15</v>
      </c>
      <c r="B29" s="74"/>
      <c r="C29" s="7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74"/>
      <c r="B30" s="75"/>
      <c r="C30" s="7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49" t="s">
        <v>9</v>
      </c>
      <c r="C31" s="49"/>
      <c r="D31" s="49" t="s">
        <v>10</v>
      </c>
      <c r="E31" s="49"/>
      <c r="F31" s="60" t="s">
        <v>11</v>
      </c>
      <c r="G31" s="61"/>
      <c r="H31" s="54"/>
      <c r="I31" s="54"/>
      <c r="J31" s="107" t="s">
        <v>83</v>
      </c>
      <c r="K31" s="107"/>
      <c r="L31" s="107"/>
      <c r="M31" s="107"/>
      <c r="N31" s="107"/>
      <c r="O31" s="107"/>
      <c r="P31" s="107"/>
      <c r="Q31" s="107"/>
      <c r="R31" s="1"/>
      <c r="S31" s="1"/>
      <c r="T31" s="1"/>
    </row>
    <row r="32" spans="1:20" x14ac:dyDescent="0.25">
      <c r="A32" s="1"/>
      <c r="B32" s="42" t="s">
        <v>6</v>
      </c>
      <c r="C32" s="42" t="s">
        <v>7</v>
      </c>
      <c r="D32" s="42" t="s">
        <v>6</v>
      </c>
      <c r="E32" s="42" t="s">
        <v>7</v>
      </c>
      <c r="F32" s="42" t="s">
        <v>78</v>
      </c>
      <c r="G32" s="42" t="s">
        <v>7</v>
      </c>
      <c r="H32" s="43"/>
      <c r="I32" s="43"/>
      <c r="J32" s="107"/>
      <c r="K32" s="107"/>
      <c r="L32" s="107"/>
      <c r="M32" s="107"/>
      <c r="N32" s="107"/>
      <c r="O32" s="107"/>
      <c r="P32" s="107"/>
      <c r="Q32" s="107"/>
      <c r="R32" s="1"/>
      <c r="S32" s="1"/>
      <c r="T32" s="1"/>
    </row>
    <row r="33" spans="1:20" x14ac:dyDescent="0.25">
      <c r="A33" s="1"/>
      <c r="B33" s="42">
        <v>3.7090000000000001</v>
      </c>
      <c r="C33" s="42">
        <v>0</v>
      </c>
      <c r="D33" s="42">
        <v>12.37</v>
      </c>
      <c r="E33" s="42">
        <v>0</v>
      </c>
      <c r="F33" s="42">
        <v>255</v>
      </c>
      <c r="G33" s="42">
        <v>0</v>
      </c>
      <c r="H33" s="43"/>
      <c r="I33" s="43"/>
      <c r="J33" s="107"/>
      <c r="K33" s="107"/>
      <c r="L33" s="107"/>
      <c r="M33" s="107"/>
      <c r="N33" s="107"/>
      <c r="O33" s="107"/>
      <c r="P33" s="107"/>
      <c r="Q33" s="107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</sheetData>
  <mergeCells count="47">
    <mergeCell ref="A29:C30"/>
    <mergeCell ref="B31:C31"/>
    <mergeCell ref="D31:E31"/>
    <mergeCell ref="F31:G31"/>
    <mergeCell ref="H31:I31"/>
    <mergeCell ref="J31:Q33"/>
    <mergeCell ref="A21:C22"/>
    <mergeCell ref="D21:F22"/>
    <mergeCell ref="A25:C26"/>
    <mergeCell ref="D25:F26"/>
    <mergeCell ref="G25:H26"/>
    <mergeCell ref="J25:Q27"/>
    <mergeCell ref="A16:C17"/>
    <mergeCell ref="B18:D18"/>
    <mergeCell ref="E18:F18"/>
    <mergeCell ref="G18:H18"/>
    <mergeCell ref="I18:K18"/>
    <mergeCell ref="B19:D19"/>
    <mergeCell ref="E19:F19"/>
    <mergeCell ref="G19:H19"/>
    <mergeCell ref="I19:J19"/>
    <mergeCell ref="S8:T8"/>
    <mergeCell ref="O9:P9"/>
    <mergeCell ref="Q9:R9"/>
    <mergeCell ref="O10:P10"/>
    <mergeCell ref="Q10:R10"/>
    <mergeCell ref="A12:C13"/>
    <mergeCell ref="D12:F13"/>
    <mergeCell ref="K12:N13"/>
    <mergeCell ref="H12:J13"/>
    <mergeCell ref="L7:M7"/>
    <mergeCell ref="N7:P7"/>
    <mergeCell ref="Q7:R7"/>
    <mergeCell ref="S7:T7"/>
    <mergeCell ref="B8:C8"/>
    <mergeCell ref="D8:E8"/>
    <mergeCell ref="F8:G8"/>
    <mergeCell ref="H8:I8"/>
    <mergeCell ref="J8:K8"/>
    <mergeCell ref="L8:M8"/>
    <mergeCell ref="D2:J4"/>
    <mergeCell ref="A5:C6"/>
    <mergeCell ref="B7:C7"/>
    <mergeCell ref="D7:E7"/>
    <mergeCell ref="F7:G7"/>
    <mergeCell ref="H7:I7"/>
    <mergeCell ref="J7:K7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H17" sqref="H17"/>
    </sheetView>
  </sheetViews>
  <sheetFormatPr defaultRowHeight="15" x14ac:dyDescent="0.25"/>
  <cols>
    <col min="1" max="1" width="16.5703125" bestFit="1" customWidth="1"/>
    <col min="2" max="2" width="31" bestFit="1" customWidth="1"/>
    <col min="3" max="3" width="20.140625" bestFit="1" customWidth="1"/>
    <col min="4" max="4" width="17.85546875" bestFit="1" customWidth="1"/>
  </cols>
  <sheetData>
    <row r="1" spans="1:14" x14ac:dyDescent="0.25">
      <c r="A1" s="1"/>
      <c r="B1" s="108" t="s">
        <v>53</v>
      </c>
      <c r="C1" s="108"/>
      <c r="D1" s="108"/>
      <c r="E1" s="108"/>
      <c r="F1" s="108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/>
      <c r="B2" s="108"/>
      <c r="C2" s="108"/>
      <c r="D2" s="108"/>
      <c r="E2" s="108"/>
      <c r="F2" s="108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09" t="s">
        <v>54</v>
      </c>
      <c r="F3" s="109"/>
      <c r="G3" s="109" t="s">
        <v>55</v>
      </c>
      <c r="H3" s="109"/>
      <c r="I3" s="1"/>
      <c r="J3" s="1"/>
      <c r="K3" s="1"/>
      <c r="L3" s="1"/>
      <c r="M3" s="1"/>
      <c r="N3" s="1"/>
    </row>
    <row r="4" spans="1:14" x14ac:dyDescent="0.25">
      <c r="A4" s="25"/>
      <c r="B4" s="26" t="s">
        <v>56</v>
      </c>
      <c r="C4" s="27" t="s">
        <v>57</v>
      </c>
      <c r="D4" s="27" t="s">
        <v>58</v>
      </c>
      <c r="E4" s="28">
        <v>2022</v>
      </c>
      <c r="F4" s="28">
        <v>2023</v>
      </c>
      <c r="G4" s="28">
        <v>2022</v>
      </c>
      <c r="H4" s="28">
        <v>2023</v>
      </c>
      <c r="I4" s="1"/>
      <c r="J4" s="1"/>
      <c r="K4" s="1"/>
      <c r="L4" s="1"/>
      <c r="M4" s="1"/>
      <c r="N4" s="1"/>
    </row>
    <row r="5" spans="1:14" x14ac:dyDescent="0.25">
      <c r="A5" s="18" t="s">
        <v>0</v>
      </c>
      <c r="B5" s="18">
        <v>24.3</v>
      </c>
      <c r="C5" s="18">
        <f t="shared" ref="C5:C10" si="0">B5/11</f>
        <v>2.209090909090909</v>
      </c>
      <c r="D5" s="18">
        <f t="shared" ref="D5:D10" si="1">B5+C5</f>
        <v>26.509090909090908</v>
      </c>
      <c r="E5" s="18">
        <v>3900</v>
      </c>
      <c r="F5" s="18">
        <v>4500</v>
      </c>
      <c r="G5" s="29">
        <f t="shared" ref="G5:G10" si="2">E5*D5</f>
        <v>103385.45454545454</v>
      </c>
      <c r="H5" s="29">
        <f t="shared" ref="H5:H10" si="3">F5*D5</f>
        <v>119290.90909090909</v>
      </c>
      <c r="I5" s="1"/>
      <c r="J5" s="1"/>
      <c r="K5" s="1"/>
      <c r="L5" s="1"/>
      <c r="M5" s="1"/>
      <c r="N5" s="1"/>
    </row>
    <row r="6" spans="1:14" x14ac:dyDescent="0.25">
      <c r="A6" s="16" t="s">
        <v>1</v>
      </c>
      <c r="B6" s="16">
        <v>19.8</v>
      </c>
      <c r="C6" s="16">
        <f t="shared" si="0"/>
        <v>1.8</v>
      </c>
      <c r="D6" s="16">
        <f t="shared" si="1"/>
        <v>21.6</v>
      </c>
      <c r="E6" s="16">
        <v>765</v>
      </c>
      <c r="F6" s="16">
        <v>865</v>
      </c>
      <c r="G6" s="25">
        <f t="shared" si="2"/>
        <v>16524</v>
      </c>
      <c r="H6" s="25">
        <f t="shared" si="3"/>
        <v>18684</v>
      </c>
      <c r="I6" s="1"/>
      <c r="J6" s="1"/>
      <c r="K6" s="1"/>
      <c r="L6" s="1"/>
      <c r="M6" s="1"/>
      <c r="N6" s="1"/>
    </row>
    <row r="7" spans="1:14" x14ac:dyDescent="0.25">
      <c r="A7" s="30" t="s">
        <v>2</v>
      </c>
      <c r="B7" s="30">
        <v>14.74</v>
      </c>
      <c r="C7" s="30">
        <f t="shared" si="0"/>
        <v>1.34</v>
      </c>
      <c r="D7" s="30">
        <f t="shared" si="1"/>
        <v>16.080000000000002</v>
      </c>
      <c r="E7" s="30">
        <v>8190</v>
      </c>
      <c r="F7" s="30">
        <v>9850</v>
      </c>
      <c r="G7" s="31">
        <f t="shared" si="2"/>
        <v>131695.20000000001</v>
      </c>
      <c r="H7" s="31">
        <f t="shared" si="3"/>
        <v>158388.00000000003</v>
      </c>
      <c r="I7" s="1"/>
      <c r="J7" s="1"/>
      <c r="K7" s="1"/>
      <c r="L7" s="1"/>
      <c r="M7" s="1"/>
      <c r="N7" s="1"/>
    </row>
    <row r="8" spans="1:14" x14ac:dyDescent="0.25">
      <c r="A8" s="32" t="s">
        <v>59</v>
      </c>
      <c r="B8" s="32">
        <v>2.56</v>
      </c>
      <c r="C8" s="32">
        <f t="shared" si="0"/>
        <v>0.23272727272727273</v>
      </c>
      <c r="D8" s="32">
        <f t="shared" si="1"/>
        <v>2.7927272727272729</v>
      </c>
      <c r="E8" s="32">
        <v>2300</v>
      </c>
      <c r="F8" s="32">
        <v>2535</v>
      </c>
      <c r="G8" s="33">
        <f t="shared" si="2"/>
        <v>6423.2727272727279</v>
      </c>
      <c r="H8" s="33">
        <f t="shared" si="3"/>
        <v>7079.5636363636368</v>
      </c>
      <c r="I8" s="1"/>
      <c r="J8" s="1"/>
      <c r="K8" s="1"/>
      <c r="L8" s="1"/>
      <c r="M8" s="1"/>
      <c r="N8" s="1"/>
    </row>
    <row r="9" spans="1:14" x14ac:dyDescent="0.25">
      <c r="A9" s="34" t="s">
        <v>3</v>
      </c>
      <c r="B9" s="34">
        <v>221.78</v>
      </c>
      <c r="C9" s="34">
        <f t="shared" si="0"/>
        <v>20.16181818181818</v>
      </c>
      <c r="D9" s="34">
        <f t="shared" si="1"/>
        <v>241.94181818181818</v>
      </c>
      <c r="E9" s="34">
        <v>1950</v>
      </c>
      <c r="F9" s="34">
        <v>2350</v>
      </c>
      <c r="G9" s="35">
        <f t="shared" si="2"/>
        <v>471786.54545454547</v>
      </c>
      <c r="H9" s="35">
        <f t="shared" si="3"/>
        <v>568563.27272727271</v>
      </c>
      <c r="I9" s="1"/>
      <c r="J9" s="1"/>
      <c r="K9" s="1"/>
      <c r="L9" s="1"/>
      <c r="M9" s="1"/>
      <c r="N9" s="1"/>
    </row>
    <row r="10" spans="1:14" x14ac:dyDescent="0.25">
      <c r="A10" s="36" t="s">
        <v>4</v>
      </c>
      <c r="B10" s="36">
        <v>88.94</v>
      </c>
      <c r="C10" s="36">
        <f t="shared" si="0"/>
        <v>8.0854545454545459</v>
      </c>
      <c r="D10" s="36">
        <f t="shared" si="1"/>
        <v>97.025454545454551</v>
      </c>
      <c r="E10" s="36">
        <v>2100</v>
      </c>
      <c r="F10" s="36">
        <v>2500</v>
      </c>
      <c r="G10" s="37">
        <f t="shared" si="2"/>
        <v>203753.45454545456</v>
      </c>
      <c r="H10" s="37">
        <f t="shared" si="3"/>
        <v>242563.63636363638</v>
      </c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24">
        <f>SUM(D5:D10)</f>
        <v>405.94909090909096</v>
      </c>
      <c r="E11" s="1"/>
      <c r="F11" s="1"/>
      <c r="G11" s="1">
        <f>SUM(G4:G10)</f>
        <v>935589.92727272736</v>
      </c>
      <c r="H11" s="1">
        <f>SUM(H4:H10)</f>
        <v>1116592.3818181818</v>
      </c>
      <c r="I11" s="1" t="s">
        <v>60</v>
      </c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>
        <f>H11-G11</f>
        <v>181002.45454545447</v>
      </c>
      <c r="I13" s="1" t="s">
        <v>20</v>
      </c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1" x14ac:dyDescent="0.35">
      <c r="A15" s="1"/>
      <c r="B15" s="1"/>
      <c r="C15" s="1"/>
      <c r="D15" s="1"/>
      <c r="E15" s="1"/>
      <c r="F15" s="1"/>
      <c r="G15" s="1">
        <f>H13/G11</f>
        <v>0.19346344939078389</v>
      </c>
      <c r="H15" s="23">
        <f>G15*100</f>
        <v>19.346344939078389</v>
      </c>
      <c r="I15" s="23" t="s">
        <v>61</v>
      </c>
      <c r="J15" s="38"/>
      <c r="K15" s="38"/>
      <c r="L15" s="1"/>
      <c r="M15" s="1"/>
      <c r="N15" s="1"/>
    </row>
    <row r="16" spans="1:14" x14ac:dyDescent="0.25">
      <c r="A16" s="1"/>
      <c r="B16" s="1" t="s">
        <v>62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 t="s">
        <v>63</v>
      </c>
      <c r="C18" s="39">
        <v>680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 t="s">
        <v>64</v>
      </c>
      <c r="C19" s="40" t="s">
        <v>65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10" t="s">
        <v>66</v>
      </c>
      <c r="B23" s="110"/>
      <c r="C23" s="24" t="s">
        <v>67</v>
      </c>
      <c r="D23" s="24" t="s">
        <v>68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10">
        <v>1106113</v>
      </c>
      <c r="B24" s="110"/>
      <c r="C24" s="24">
        <v>41487</v>
      </c>
      <c r="D24" s="24">
        <v>236911.5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mergeCells count="5">
    <mergeCell ref="B1:F2"/>
    <mergeCell ref="E3:F3"/>
    <mergeCell ref="G3:H3"/>
    <mergeCell ref="A23:B23"/>
    <mergeCell ref="A24:B2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2023_konečný součet</vt:lpstr>
      <vt:lpstr>Kalkulace odpadů 2022_2023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2024-02-26T16:37:12Z</cp:lastPrinted>
  <dcterms:created xsi:type="dcterms:W3CDTF">2021-02-04T15:22:45Z</dcterms:created>
  <dcterms:modified xsi:type="dcterms:W3CDTF">2024-02-26T16:37:14Z</dcterms:modified>
</cp:coreProperties>
</file>